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01-伊旗籍男岗" sheetId="1" r:id="rId1"/>
    <sheet name="02-伊旗籍女岗" sheetId="2" r:id="rId2"/>
    <sheet name="03-鄂尔多斯市籍男岗" sheetId="3" r:id="rId3"/>
    <sheet name="04-鄂尔多斯市籍女岗" sheetId="4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<sst xmlns="http://schemas.openxmlformats.org/spreadsheetml/2006/main" count="321" uniqueCount="20">
  <si>
    <t>01伊金霍洛旗籍男岗成绩表</t>
  </si>
  <si>
    <t>编号</t>
  </si>
  <si>
    <t>准考证号</t>
  </si>
  <si>
    <t>姓名</t>
  </si>
  <si>
    <t>笔试总成绩</t>
  </si>
  <si>
    <t>笔试总成绩*60%</t>
  </si>
  <si>
    <t>面试总成绩</t>
  </si>
  <si>
    <t>面试总成绩*40%</t>
  </si>
  <si>
    <t>考试总成绩</t>
  </si>
  <si>
    <t>是否进入体检</t>
  </si>
  <si>
    <t>是</t>
  </si>
  <si>
    <t>否</t>
  </si>
  <si>
    <t>缺考</t>
  </si>
  <si>
    <t>02伊金霍洛旗籍女岗成绩表</t>
  </si>
  <si>
    <t>15002021212</t>
  </si>
  <si>
    <t>王佳源</t>
  </si>
  <si>
    <t>03鄂尔多斯市籍男岗成绩表</t>
  </si>
  <si>
    <t>王海鹏</t>
  </si>
  <si>
    <t>杨帅</t>
  </si>
  <si>
    <t>04鄂尔多斯市籍女岗成绩表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</si>
</sst>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0"/>
      <name val="方正小标宋简体"/>
      <charset val="134"/>
    </font>
    <font>
      <b/>
      <sz val="15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176" fontId="3" fillId="5" borderId="2" xfId="0" applyNumberFormat="1" applyFont="1" applyFill="1" applyBorder="1" applyAlignment="1">
      <alignment vertical="center"/>
    </xf>
    <xf numFmtId="176" fontId="3" fillId="4" borderId="2" xfId="0" applyNumberFormat="1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1531;&#23376;\Documents\WeChat%20Files\niepeng1018\FileStorage\File\2021-12\&#20234;&#37329;&#38669;&#27931;&#26071;2021&#24180;&#20844;&#24320;&#25307;&#32856;&#20844;&#23433;&#35686;&#21153;&#36741;&#21161;&#20154;&#21592;&#20307;&#33021;&#27979;&#35797;&#21512;&#26684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-伊旗籍男岗"/>
      <sheetName val="02-伊旗籍女岗"/>
      <sheetName val="03-鄂尔多斯市籍男岗"/>
      <sheetName val="04-鄂尔多斯市籍女岗"/>
    </sheetNames>
    <sheetDataSet>
      <sheetData sheetId="0">
        <row r="3">
          <cell r="C3" t="str">
            <v>15001010619</v>
          </cell>
          <cell r="D3" t="str">
            <v>张子龙</v>
          </cell>
          <cell r="E3">
            <v>66</v>
          </cell>
        </row>
        <row r="4">
          <cell r="C4" t="str">
            <v>15001010310</v>
          </cell>
          <cell r="D4" t="str">
            <v>王东伟</v>
          </cell>
          <cell r="E4">
            <v>64.7</v>
          </cell>
        </row>
        <row r="5">
          <cell r="C5" t="str">
            <v>15001011018</v>
          </cell>
          <cell r="D5" t="str">
            <v>李瑞</v>
          </cell>
          <cell r="E5">
            <v>63.1</v>
          </cell>
        </row>
        <row r="6">
          <cell r="C6" t="str">
            <v>15001010229</v>
          </cell>
          <cell r="D6" t="str">
            <v>李伟强</v>
          </cell>
          <cell r="E6">
            <v>60.7</v>
          </cell>
        </row>
        <row r="7">
          <cell r="C7" t="str">
            <v>15001010104</v>
          </cell>
          <cell r="D7" t="str">
            <v>郝瑞东</v>
          </cell>
          <cell r="E7">
            <v>59.7</v>
          </cell>
        </row>
        <row r="8">
          <cell r="C8" t="str">
            <v>15001011104</v>
          </cell>
          <cell r="D8" t="str">
            <v>徐鸿祥</v>
          </cell>
          <cell r="E8">
            <v>59.7</v>
          </cell>
        </row>
        <row r="9">
          <cell r="C9" t="str">
            <v>15001010301</v>
          </cell>
          <cell r="D9" t="str">
            <v>温建亭</v>
          </cell>
          <cell r="E9">
            <v>59.3</v>
          </cell>
        </row>
        <row r="10">
          <cell r="C10" t="str">
            <v>15001010323</v>
          </cell>
          <cell r="D10" t="str">
            <v>马帅</v>
          </cell>
          <cell r="E10">
            <v>58.6</v>
          </cell>
        </row>
        <row r="11">
          <cell r="C11" t="str">
            <v>15001010925</v>
          </cell>
          <cell r="D11" t="str">
            <v>尚楚易</v>
          </cell>
          <cell r="E11">
            <v>58.2</v>
          </cell>
        </row>
        <row r="12">
          <cell r="C12" t="str">
            <v>15001011003</v>
          </cell>
          <cell r="D12" t="str">
            <v>袁鑫</v>
          </cell>
          <cell r="E12">
            <v>58.1</v>
          </cell>
        </row>
        <row r="13">
          <cell r="C13" t="str">
            <v>15001011301</v>
          </cell>
          <cell r="D13" t="str">
            <v>苗荣</v>
          </cell>
          <cell r="E13">
            <v>58.1</v>
          </cell>
        </row>
        <row r="14">
          <cell r="C14" t="str">
            <v>15001010204</v>
          </cell>
          <cell r="D14" t="str">
            <v>包云鹤</v>
          </cell>
          <cell r="E14">
            <v>57.9</v>
          </cell>
        </row>
        <row r="15">
          <cell r="C15" t="str">
            <v>15001010426</v>
          </cell>
          <cell r="D15" t="str">
            <v>胡海强</v>
          </cell>
          <cell r="E15">
            <v>57.9</v>
          </cell>
        </row>
        <row r="16">
          <cell r="C16" t="str">
            <v>15001010402</v>
          </cell>
          <cell r="D16" t="str">
            <v>解敏龙</v>
          </cell>
          <cell r="E16">
            <v>57.3</v>
          </cell>
        </row>
        <row r="17">
          <cell r="C17" t="str">
            <v>15001010724</v>
          </cell>
          <cell r="D17" t="str">
            <v>郭自东</v>
          </cell>
          <cell r="E17">
            <v>56.9</v>
          </cell>
        </row>
        <row r="18">
          <cell r="C18" t="str">
            <v>15001010307</v>
          </cell>
          <cell r="D18" t="str">
            <v>奇雷</v>
          </cell>
          <cell r="E18">
            <v>56.8</v>
          </cell>
        </row>
        <row r="19">
          <cell r="C19" t="str">
            <v>15001011014</v>
          </cell>
          <cell r="D19" t="str">
            <v>白旭</v>
          </cell>
          <cell r="E19">
            <v>56.5</v>
          </cell>
        </row>
        <row r="20">
          <cell r="C20" t="str">
            <v>15001010703</v>
          </cell>
          <cell r="D20" t="str">
            <v>韩磊</v>
          </cell>
          <cell r="E20">
            <v>56.4</v>
          </cell>
        </row>
        <row r="21">
          <cell r="C21" t="str">
            <v>15001011026</v>
          </cell>
          <cell r="D21" t="str">
            <v>许斌</v>
          </cell>
          <cell r="E21">
            <v>56.2</v>
          </cell>
        </row>
        <row r="22">
          <cell r="C22" t="str">
            <v>15001011127</v>
          </cell>
          <cell r="D22" t="str">
            <v>李洋</v>
          </cell>
          <cell r="E22">
            <v>56.2</v>
          </cell>
        </row>
        <row r="23">
          <cell r="C23" t="str">
            <v>15001010608</v>
          </cell>
          <cell r="D23" t="str">
            <v>刘波</v>
          </cell>
          <cell r="E23">
            <v>56</v>
          </cell>
        </row>
        <row r="24">
          <cell r="C24" t="str">
            <v>15001011122</v>
          </cell>
          <cell r="D24" t="str">
            <v>高伟</v>
          </cell>
          <cell r="E24">
            <v>56</v>
          </cell>
        </row>
        <row r="25">
          <cell r="C25" t="str">
            <v>15001010811</v>
          </cell>
          <cell r="D25" t="str">
            <v>张福荣</v>
          </cell>
          <cell r="E25">
            <v>55.7</v>
          </cell>
        </row>
        <row r="26">
          <cell r="C26" t="str">
            <v>15001010501</v>
          </cell>
          <cell r="D26" t="str">
            <v>倪童</v>
          </cell>
          <cell r="E26">
            <v>55</v>
          </cell>
        </row>
        <row r="27">
          <cell r="C27" t="str">
            <v>15001010208</v>
          </cell>
          <cell r="D27" t="str">
            <v>刘德隆</v>
          </cell>
          <cell r="E27">
            <v>54.9</v>
          </cell>
        </row>
        <row r="28">
          <cell r="C28" t="str">
            <v>15001010224</v>
          </cell>
          <cell r="D28" t="str">
            <v>宋伟</v>
          </cell>
          <cell r="E28">
            <v>54.9</v>
          </cell>
        </row>
        <row r="29">
          <cell r="C29" t="str">
            <v>15001010302</v>
          </cell>
          <cell r="D29" t="str">
            <v>乔宇</v>
          </cell>
          <cell r="E29">
            <v>54.9</v>
          </cell>
        </row>
        <row r="30">
          <cell r="C30" t="str">
            <v>15001011211</v>
          </cell>
          <cell r="D30" t="str">
            <v>张博宇</v>
          </cell>
          <cell r="E30">
            <v>54.7</v>
          </cell>
        </row>
        <row r="31">
          <cell r="C31" t="str">
            <v>15001011220</v>
          </cell>
          <cell r="D31" t="str">
            <v>朱星雨</v>
          </cell>
          <cell r="E31">
            <v>54.2</v>
          </cell>
        </row>
        <row r="32">
          <cell r="C32" t="str">
            <v>15001010817</v>
          </cell>
          <cell r="D32" t="str">
            <v>李泽宇</v>
          </cell>
          <cell r="E32">
            <v>53.8</v>
          </cell>
        </row>
        <row r="33">
          <cell r="C33" t="str">
            <v>15001010303</v>
          </cell>
          <cell r="D33" t="str">
            <v>李鹏</v>
          </cell>
          <cell r="E33">
            <v>53.3</v>
          </cell>
        </row>
        <row r="34">
          <cell r="C34" t="str">
            <v>15001010709</v>
          </cell>
          <cell r="D34" t="str">
            <v>曹旭</v>
          </cell>
          <cell r="E34">
            <v>53</v>
          </cell>
        </row>
        <row r="35">
          <cell r="C35" t="str">
            <v>15001010305</v>
          </cell>
          <cell r="D35" t="str">
            <v>周家坤</v>
          </cell>
          <cell r="E35">
            <v>52.9</v>
          </cell>
        </row>
        <row r="36">
          <cell r="C36" t="str">
            <v>15001010716</v>
          </cell>
          <cell r="D36" t="str">
            <v>王珂荣</v>
          </cell>
          <cell r="E36">
            <v>52.9</v>
          </cell>
        </row>
        <row r="37">
          <cell r="C37" t="str">
            <v>15001010920</v>
          </cell>
          <cell r="D37" t="str">
            <v>毕利格图</v>
          </cell>
          <cell r="E37">
            <v>52.8</v>
          </cell>
        </row>
        <row r="38">
          <cell r="C38" t="str">
            <v>15001011121</v>
          </cell>
          <cell r="D38" t="str">
            <v>宋海洋</v>
          </cell>
          <cell r="E38">
            <v>52.5</v>
          </cell>
        </row>
        <row r="39">
          <cell r="C39" t="str">
            <v>15001011229</v>
          </cell>
          <cell r="D39" t="str">
            <v>傲日其劳</v>
          </cell>
          <cell r="E39">
            <v>52.4</v>
          </cell>
        </row>
        <row r="40">
          <cell r="C40" t="str">
            <v>15001011107</v>
          </cell>
          <cell r="D40" t="str">
            <v>王正</v>
          </cell>
          <cell r="E40">
            <v>52.2</v>
          </cell>
        </row>
        <row r="41">
          <cell r="C41" t="str">
            <v>15001010515</v>
          </cell>
          <cell r="D41" t="str">
            <v>刘成伟</v>
          </cell>
          <cell r="E41">
            <v>52</v>
          </cell>
        </row>
        <row r="42">
          <cell r="C42" t="str">
            <v>15001011319</v>
          </cell>
          <cell r="D42" t="str">
            <v>张轩</v>
          </cell>
          <cell r="E42">
            <v>52</v>
          </cell>
        </row>
        <row r="43">
          <cell r="C43" t="str">
            <v>15001010730</v>
          </cell>
          <cell r="D43" t="str">
            <v>陈乐</v>
          </cell>
          <cell r="E43">
            <v>51.7</v>
          </cell>
        </row>
        <row r="44">
          <cell r="C44" t="str">
            <v>15001010718</v>
          </cell>
          <cell r="D44" t="str">
            <v>樊利强</v>
          </cell>
          <cell r="E44">
            <v>51.3</v>
          </cell>
        </row>
        <row r="45">
          <cell r="C45" t="str">
            <v>15001010624</v>
          </cell>
          <cell r="D45" t="str">
            <v>刘浩</v>
          </cell>
          <cell r="E45">
            <v>51.1</v>
          </cell>
        </row>
        <row r="46">
          <cell r="C46" t="str">
            <v>15001010313</v>
          </cell>
          <cell r="D46" t="str">
            <v>贾杰</v>
          </cell>
          <cell r="E46">
            <v>51</v>
          </cell>
        </row>
        <row r="47">
          <cell r="C47" t="str">
            <v>15001010806</v>
          </cell>
          <cell r="D47" t="str">
            <v>杨晓龙</v>
          </cell>
          <cell r="E47">
            <v>51</v>
          </cell>
        </row>
        <row r="48">
          <cell r="C48" t="str">
            <v>15001010122</v>
          </cell>
          <cell r="D48" t="str">
            <v>王杰</v>
          </cell>
          <cell r="E48">
            <v>50.4</v>
          </cell>
        </row>
        <row r="49">
          <cell r="C49" t="str">
            <v>15001010809</v>
          </cell>
          <cell r="D49" t="str">
            <v>巴嘎那</v>
          </cell>
          <cell r="E49">
            <v>50.3</v>
          </cell>
        </row>
        <row r="50">
          <cell r="C50" t="str">
            <v>15001010124</v>
          </cell>
          <cell r="D50" t="str">
            <v>孙磊</v>
          </cell>
          <cell r="E50">
            <v>50.2</v>
          </cell>
        </row>
        <row r="51">
          <cell r="C51" t="str">
            <v>15001010325</v>
          </cell>
          <cell r="D51" t="str">
            <v>高家伟</v>
          </cell>
          <cell r="E51">
            <v>50.1</v>
          </cell>
        </row>
        <row r="52">
          <cell r="C52" t="str">
            <v>15001010807</v>
          </cell>
          <cell r="D52" t="str">
            <v>郝亮</v>
          </cell>
          <cell r="E52">
            <v>49.7</v>
          </cell>
        </row>
        <row r="53">
          <cell r="C53" t="str">
            <v>15001010824</v>
          </cell>
          <cell r="D53" t="str">
            <v>王震</v>
          </cell>
          <cell r="E53">
            <v>49.7</v>
          </cell>
        </row>
        <row r="54">
          <cell r="C54" t="str">
            <v>15001011123</v>
          </cell>
          <cell r="D54" t="str">
            <v>杨伊博</v>
          </cell>
          <cell r="E54">
            <v>49.7</v>
          </cell>
        </row>
        <row r="55">
          <cell r="C55" t="str">
            <v>15001010615</v>
          </cell>
          <cell r="D55" t="str">
            <v>张建平</v>
          </cell>
          <cell r="E55">
            <v>49.5</v>
          </cell>
        </row>
        <row r="56">
          <cell r="C56" t="str">
            <v>15001011304</v>
          </cell>
          <cell r="D56" t="str">
            <v>温利刚</v>
          </cell>
          <cell r="E56">
            <v>49.4</v>
          </cell>
        </row>
        <row r="57">
          <cell r="C57" t="str">
            <v>15001010803</v>
          </cell>
          <cell r="D57" t="str">
            <v>王昊</v>
          </cell>
          <cell r="E57">
            <v>49.3</v>
          </cell>
        </row>
        <row r="58">
          <cell r="C58" t="str">
            <v>15001011216</v>
          </cell>
          <cell r="D58" t="str">
            <v>贺政</v>
          </cell>
          <cell r="E58">
            <v>49.3</v>
          </cell>
        </row>
        <row r="59">
          <cell r="C59" t="str">
            <v>15001010306</v>
          </cell>
          <cell r="D59" t="str">
            <v>武和</v>
          </cell>
          <cell r="E59">
            <v>49.2</v>
          </cell>
        </row>
        <row r="60">
          <cell r="C60" t="str">
            <v>15001010525</v>
          </cell>
          <cell r="D60" t="str">
            <v>郭露</v>
          </cell>
          <cell r="E60">
            <v>48.9</v>
          </cell>
        </row>
        <row r="61">
          <cell r="C61" t="str">
            <v>15001011420</v>
          </cell>
          <cell r="D61" t="str">
            <v>马绍杰</v>
          </cell>
          <cell r="E61">
            <v>48.9</v>
          </cell>
        </row>
        <row r="62">
          <cell r="C62" t="str">
            <v>15001011109</v>
          </cell>
          <cell r="D62" t="str">
            <v>祁瑞</v>
          </cell>
          <cell r="E62">
            <v>48.6</v>
          </cell>
        </row>
        <row r="63">
          <cell r="C63" t="str">
            <v>15001010125</v>
          </cell>
          <cell r="D63" t="str">
            <v>张露</v>
          </cell>
          <cell r="E63">
            <v>48.5</v>
          </cell>
        </row>
        <row r="64">
          <cell r="C64" t="str">
            <v>15001010102</v>
          </cell>
          <cell r="D64" t="str">
            <v>李宇博</v>
          </cell>
          <cell r="E64">
            <v>48.2</v>
          </cell>
        </row>
        <row r="65">
          <cell r="C65" t="str">
            <v>15001011008</v>
          </cell>
          <cell r="D65" t="str">
            <v>高浩宇</v>
          </cell>
          <cell r="E65">
            <v>48.2</v>
          </cell>
        </row>
        <row r="66">
          <cell r="C66" t="str">
            <v>15001010529</v>
          </cell>
          <cell r="D66" t="str">
            <v>杨普铭</v>
          </cell>
          <cell r="E66">
            <v>48.1</v>
          </cell>
        </row>
        <row r="67">
          <cell r="C67" t="str">
            <v>15001011316</v>
          </cell>
          <cell r="D67" t="str">
            <v>杨坤超</v>
          </cell>
          <cell r="E67">
            <v>48.1</v>
          </cell>
        </row>
        <row r="68">
          <cell r="C68" t="str">
            <v>15001010823</v>
          </cell>
          <cell r="D68" t="str">
            <v>白雨</v>
          </cell>
          <cell r="E68">
            <v>47.9</v>
          </cell>
        </row>
        <row r="69">
          <cell r="C69" t="str">
            <v>15001011327</v>
          </cell>
          <cell r="D69" t="str">
            <v>刘强</v>
          </cell>
          <cell r="E69">
            <v>47.9</v>
          </cell>
        </row>
        <row r="70">
          <cell r="C70" t="str">
            <v>15001010209</v>
          </cell>
          <cell r="D70" t="str">
            <v>白腾荣</v>
          </cell>
          <cell r="E70">
            <v>47.8</v>
          </cell>
        </row>
        <row r="71">
          <cell r="C71" t="str">
            <v>15001010801</v>
          </cell>
          <cell r="D71" t="str">
            <v>王磊</v>
          </cell>
          <cell r="E71">
            <v>47.7</v>
          </cell>
        </row>
        <row r="72">
          <cell r="C72" t="str">
            <v>15001010427</v>
          </cell>
          <cell r="D72" t="str">
            <v>单登</v>
          </cell>
          <cell r="E72">
            <v>47.6</v>
          </cell>
        </row>
        <row r="73">
          <cell r="C73" t="str">
            <v>15001010822</v>
          </cell>
          <cell r="D73" t="str">
            <v>贾臻岳</v>
          </cell>
          <cell r="E73">
            <v>47.4</v>
          </cell>
        </row>
        <row r="74">
          <cell r="C74" t="str">
            <v>15001010127</v>
          </cell>
          <cell r="D74" t="str">
            <v>王子录</v>
          </cell>
          <cell r="E74">
            <v>47.3</v>
          </cell>
        </row>
        <row r="75">
          <cell r="C75" t="str">
            <v>15001011412</v>
          </cell>
          <cell r="D75" t="str">
            <v>袁新</v>
          </cell>
          <cell r="E75">
            <v>47.3</v>
          </cell>
        </row>
        <row r="76">
          <cell r="C76" t="str">
            <v>15001011103</v>
          </cell>
          <cell r="D76" t="str">
            <v>麻伟</v>
          </cell>
          <cell r="E76">
            <v>47.1</v>
          </cell>
        </row>
        <row r="77">
          <cell r="C77" t="str">
            <v>15001011306</v>
          </cell>
          <cell r="D77" t="str">
            <v>张宏磊</v>
          </cell>
          <cell r="E77">
            <v>47.1</v>
          </cell>
        </row>
        <row r="78">
          <cell r="C78" t="str">
            <v>15001011102</v>
          </cell>
          <cell r="D78" t="str">
            <v>郭浩</v>
          </cell>
          <cell r="E78">
            <v>47</v>
          </cell>
        </row>
        <row r="79">
          <cell r="C79" t="str">
            <v>15001010509</v>
          </cell>
          <cell r="D79" t="str">
            <v>高敏</v>
          </cell>
          <cell r="E79">
            <v>46.7</v>
          </cell>
        </row>
        <row r="80">
          <cell r="C80" t="str">
            <v>15001010528</v>
          </cell>
          <cell r="D80" t="str">
            <v>耿浩伟</v>
          </cell>
          <cell r="E80">
            <v>46.7</v>
          </cell>
        </row>
        <row r="81">
          <cell r="C81" t="str">
            <v>15001010311</v>
          </cell>
          <cell r="D81" t="str">
            <v>杨波</v>
          </cell>
          <cell r="E81">
            <v>46.6</v>
          </cell>
        </row>
        <row r="82">
          <cell r="C82" t="str">
            <v>15001010720</v>
          </cell>
          <cell r="D82" t="str">
            <v>孙波</v>
          </cell>
          <cell r="E82">
            <v>46.6</v>
          </cell>
        </row>
        <row r="83">
          <cell r="C83" t="str">
            <v>15001011406</v>
          </cell>
          <cell r="D83" t="str">
            <v>张鑫源</v>
          </cell>
          <cell r="E83">
            <v>46.1</v>
          </cell>
        </row>
        <row r="84">
          <cell r="C84" t="str">
            <v>15001010729</v>
          </cell>
          <cell r="D84" t="str">
            <v>韩庭</v>
          </cell>
          <cell r="E84">
            <v>46</v>
          </cell>
        </row>
        <row r="85">
          <cell r="C85" t="str">
            <v>15001010603</v>
          </cell>
          <cell r="D85" t="str">
            <v>李科鑫</v>
          </cell>
          <cell r="E85">
            <v>45.4</v>
          </cell>
        </row>
        <row r="86">
          <cell r="C86" t="str">
            <v>15001010103</v>
          </cell>
          <cell r="D86" t="str">
            <v>王治衡</v>
          </cell>
          <cell r="E86">
            <v>45.1</v>
          </cell>
        </row>
        <row r="87">
          <cell r="C87" t="str">
            <v>15001010210</v>
          </cell>
          <cell r="D87" t="str">
            <v>杜小虎</v>
          </cell>
          <cell r="E87">
            <v>45.1</v>
          </cell>
        </row>
        <row r="88">
          <cell r="C88" t="str">
            <v>15001010213</v>
          </cell>
          <cell r="D88" t="str">
            <v>武志岗</v>
          </cell>
          <cell r="E88">
            <v>45.1</v>
          </cell>
        </row>
        <row r="89">
          <cell r="C89" t="str">
            <v>15001011307</v>
          </cell>
          <cell r="D89" t="str">
            <v>康鑫</v>
          </cell>
          <cell r="E89">
            <v>45</v>
          </cell>
        </row>
        <row r="90">
          <cell r="C90" t="str">
            <v>15001010604</v>
          </cell>
          <cell r="D90" t="str">
            <v>尔其楞</v>
          </cell>
          <cell r="E90">
            <v>44.6</v>
          </cell>
        </row>
        <row r="91">
          <cell r="C91" t="str">
            <v>15001010216</v>
          </cell>
          <cell r="D91" t="str">
            <v>张帅</v>
          </cell>
          <cell r="E91">
            <v>44.3</v>
          </cell>
        </row>
        <row r="92">
          <cell r="C92" t="str">
            <v>15001011224</v>
          </cell>
          <cell r="D92" t="str">
            <v>张小平</v>
          </cell>
          <cell r="E92">
            <v>44.1</v>
          </cell>
        </row>
        <row r="93">
          <cell r="C93" t="str">
            <v>15001010711</v>
          </cell>
          <cell r="D93" t="str">
            <v>兰宇</v>
          </cell>
          <cell r="E93">
            <v>44</v>
          </cell>
        </row>
        <row r="94">
          <cell r="C94" t="str">
            <v>15001011421</v>
          </cell>
          <cell r="D94" t="str">
            <v>赛西雅图</v>
          </cell>
          <cell r="E94">
            <v>43.6</v>
          </cell>
        </row>
        <row r="95">
          <cell r="C95" t="str">
            <v>15001011114</v>
          </cell>
          <cell r="D95" t="str">
            <v>高伟</v>
          </cell>
          <cell r="E95">
            <v>43.1</v>
          </cell>
        </row>
        <row r="96">
          <cell r="C96" t="str">
            <v>15001010214</v>
          </cell>
          <cell r="D96" t="str">
            <v>杨富宏</v>
          </cell>
          <cell r="E96">
            <v>42.7</v>
          </cell>
        </row>
        <row r="97">
          <cell r="C97" t="str">
            <v>15001010106</v>
          </cell>
          <cell r="D97" t="str">
            <v>李濮江</v>
          </cell>
          <cell r="E97">
            <v>42.5</v>
          </cell>
        </row>
        <row r="98">
          <cell r="C98" t="str">
            <v>15001010620</v>
          </cell>
          <cell r="D98" t="str">
            <v>武智元</v>
          </cell>
          <cell r="E98">
            <v>42.3</v>
          </cell>
        </row>
        <row r="99">
          <cell r="C99" t="str">
            <v>15001011115</v>
          </cell>
          <cell r="D99" t="str">
            <v>孙强</v>
          </cell>
          <cell r="E99">
            <v>42.2</v>
          </cell>
        </row>
        <row r="100">
          <cell r="C100" t="str">
            <v>15001010908</v>
          </cell>
          <cell r="D100" t="str">
            <v>杜鑫</v>
          </cell>
          <cell r="E100">
            <v>42.1</v>
          </cell>
        </row>
        <row r="101">
          <cell r="C101" t="str">
            <v>15001011005</v>
          </cell>
          <cell r="D101" t="str">
            <v>王俊</v>
          </cell>
          <cell r="E101">
            <v>42.1</v>
          </cell>
        </row>
        <row r="102">
          <cell r="C102" t="str">
            <v>15001010517</v>
          </cell>
          <cell r="D102" t="str">
            <v>郭鹏飞</v>
          </cell>
          <cell r="E102">
            <v>42</v>
          </cell>
        </row>
        <row r="103">
          <cell r="C103" t="str">
            <v>15001010522</v>
          </cell>
          <cell r="D103" t="str">
            <v>王璐</v>
          </cell>
          <cell r="E103">
            <v>41.5</v>
          </cell>
        </row>
        <row r="104">
          <cell r="C104" t="str">
            <v>15001010521</v>
          </cell>
          <cell r="D104" t="str">
            <v>杨宇</v>
          </cell>
          <cell r="E104">
            <v>41.2</v>
          </cell>
        </row>
        <row r="105">
          <cell r="C105" t="str">
            <v>15001010924</v>
          </cell>
          <cell r="D105" t="str">
            <v>折孝通</v>
          </cell>
          <cell r="E105">
            <v>40.9</v>
          </cell>
        </row>
        <row r="106">
          <cell r="C106" t="str">
            <v>15001010607</v>
          </cell>
          <cell r="D106" t="str">
            <v>王亮</v>
          </cell>
          <cell r="E106">
            <v>40.4</v>
          </cell>
        </row>
        <row r="107">
          <cell r="C107" t="str">
            <v>15001010115</v>
          </cell>
          <cell r="D107" t="str">
            <v>曾波</v>
          </cell>
          <cell r="E107">
            <v>40.2</v>
          </cell>
        </row>
        <row r="108">
          <cell r="C108" t="str">
            <v>15001011405</v>
          </cell>
          <cell r="D108" t="str">
            <v>海日图</v>
          </cell>
          <cell r="E108">
            <v>40.2</v>
          </cell>
        </row>
        <row r="109">
          <cell r="C109" t="str">
            <v>15001010101</v>
          </cell>
          <cell r="D109" t="str">
            <v>孙鹏</v>
          </cell>
          <cell r="E109">
            <v>39.4</v>
          </cell>
        </row>
        <row r="110">
          <cell r="C110" t="str">
            <v>15001010309</v>
          </cell>
          <cell r="D110" t="str">
            <v>党延旭</v>
          </cell>
          <cell r="E110">
            <v>38.8</v>
          </cell>
        </row>
        <row r="111">
          <cell r="C111" t="str">
            <v>15001010413</v>
          </cell>
          <cell r="D111" t="str">
            <v>王新</v>
          </cell>
          <cell r="E111">
            <v>38.7</v>
          </cell>
        </row>
        <row r="112">
          <cell r="C112" t="str">
            <v>15001010921</v>
          </cell>
          <cell r="D112" t="str">
            <v>苏雅拉</v>
          </cell>
          <cell r="E112">
            <v>38.7</v>
          </cell>
        </row>
        <row r="113">
          <cell r="C113" t="str">
            <v>15001010212</v>
          </cell>
          <cell r="D113" t="str">
            <v>额尔德尼</v>
          </cell>
          <cell r="E113">
            <v>38.5</v>
          </cell>
        </row>
        <row r="114">
          <cell r="C114" t="str">
            <v>15001011128</v>
          </cell>
          <cell r="D114" t="str">
            <v>奇额尔德尼</v>
          </cell>
          <cell r="E114">
            <v>38.4</v>
          </cell>
        </row>
        <row r="115">
          <cell r="C115" t="str">
            <v>15001010430</v>
          </cell>
          <cell r="D115" t="str">
            <v>白啸岳</v>
          </cell>
          <cell r="E115">
            <v>38.2</v>
          </cell>
        </row>
        <row r="116">
          <cell r="C116" t="str">
            <v>15001010609</v>
          </cell>
          <cell r="D116" t="str">
            <v>郝瑞</v>
          </cell>
          <cell r="E116">
            <v>38.2</v>
          </cell>
        </row>
        <row r="117">
          <cell r="C117" t="str">
            <v>15001010518</v>
          </cell>
          <cell r="D117" t="str">
            <v>郝宇</v>
          </cell>
          <cell r="E117">
            <v>38.1</v>
          </cell>
        </row>
        <row r="118">
          <cell r="C118" t="str">
            <v>15001013801</v>
          </cell>
          <cell r="D118" t="str">
            <v>鄂乐布格</v>
          </cell>
          <cell r="E118">
            <v>38.1</v>
          </cell>
        </row>
        <row r="119">
          <cell r="C119" t="str">
            <v>15001010623</v>
          </cell>
          <cell r="D119" t="str">
            <v>杨军</v>
          </cell>
          <cell r="E119">
            <v>37.9</v>
          </cell>
        </row>
        <row r="120">
          <cell r="C120" t="str">
            <v>15001010211</v>
          </cell>
          <cell r="D120" t="str">
            <v>赵智</v>
          </cell>
          <cell r="E120">
            <v>37.7</v>
          </cell>
        </row>
        <row r="121">
          <cell r="C121" t="str">
            <v>15001010410</v>
          </cell>
          <cell r="D121" t="str">
            <v>李昊泽</v>
          </cell>
          <cell r="E121">
            <v>37.7</v>
          </cell>
        </row>
        <row r="122">
          <cell r="C122" t="str">
            <v>15001010519</v>
          </cell>
          <cell r="D122" t="str">
            <v>燕磊磊</v>
          </cell>
          <cell r="E122">
            <v>37.2</v>
          </cell>
        </row>
        <row r="123">
          <cell r="C123" t="str">
            <v>15001011427</v>
          </cell>
          <cell r="D123" t="str">
            <v>苏凯勃</v>
          </cell>
          <cell r="E123">
            <v>37.1</v>
          </cell>
        </row>
        <row r="124">
          <cell r="C124" t="str">
            <v>15001010222</v>
          </cell>
          <cell r="D124" t="str">
            <v>杜雪峰</v>
          </cell>
          <cell r="E124">
            <v>36.7</v>
          </cell>
        </row>
        <row r="125">
          <cell r="C125" t="str">
            <v>15001010404</v>
          </cell>
          <cell r="D125" t="str">
            <v>蒋峰</v>
          </cell>
          <cell r="E125">
            <v>36.5</v>
          </cell>
        </row>
        <row r="126">
          <cell r="C126" t="str">
            <v>15001011004</v>
          </cell>
          <cell r="D126" t="str">
            <v>张宇龙</v>
          </cell>
          <cell r="E126">
            <v>36.4</v>
          </cell>
        </row>
        <row r="127">
          <cell r="C127" t="str">
            <v>15001010708</v>
          </cell>
          <cell r="D127" t="str">
            <v>董浩</v>
          </cell>
          <cell r="E127">
            <v>36.1</v>
          </cell>
        </row>
      </sheetData>
      <sheetData sheetId="1">
        <row r="3">
          <cell r="C3" t="str">
            <v>15002021112</v>
          </cell>
          <cell r="D3" t="str">
            <v>越慧</v>
          </cell>
          <cell r="E3">
            <v>68.2</v>
          </cell>
        </row>
        <row r="4">
          <cell r="C4" t="str">
            <v>15002020620</v>
          </cell>
          <cell r="D4" t="str">
            <v>边冉</v>
          </cell>
          <cell r="E4">
            <v>66</v>
          </cell>
        </row>
        <row r="5">
          <cell r="C5" t="str">
            <v>15002020721</v>
          </cell>
          <cell r="D5" t="str">
            <v>魏凯</v>
          </cell>
          <cell r="E5">
            <v>64</v>
          </cell>
        </row>
        <row r="6">
          <cell r="C6" t="str">
            <v>15002021024</v>
          </cell>
          <cell r="D6" t="str">
            <v>王玉杰</v>
          </cell>
          <cell r="E6">
            <v>64</v>
          </cell>
        </row>
        <row r="7">
          <cell r="C7" t="str">
            <v>15002020113</v>
          </cell>
          <cell r="D7" t="str">
            <v>杨慧</v>
          </cell>
          <cell r="E7">
            <v>63.6</v>
          </cell>
        </row>
        <row r="8">
          <cell r="C8" t="str">
            <v>15002020227</v>
          </cell>
          <cell r="D8" t="str">
            <v>刘岳熙</v>
          </cell>
          <cell r="E8">
            <v>63.2</v>
          </cell>
        </row>
        <row r="9">
          <cell r="C9" t="str">
            <v>15002020705</v>
          </cell>
          <cell r="D9" t="str">
            <v>石沛凡</v>
          </cell>
          <cell r="E9">
            <v>62.6</v>
          </cell>
        </row>
        <row r="10">
          <cell r="C10" t="str">
            <v>15002021105</v>
          </cell>
          <cell r="D10" t="str">
            <v>乔海艳</v>
          </cell>
          <cell r="E10">
            <v>62.6</v>
          </cell>
        </row>
        <row r="11">
          <cell r="C11" t="str">
            <v>15002021516</v>
          </cell>
          <cell r="D11" t="str">
            <v>赵睿婕</v>
          </cell>
          <cell r="E11">
            <v>62.4</v>
          </cell>
        </row>
        <row r="12">
          <cell r="C12" t="str">
            <v>15002020302</v>
          </cell>
          <cell r="D12" t="str">
            <v>李静</v>
          </cell>
          <cell r="E12">
            <v>62.2</v>
          </cell>
        </row>
        <row r="13">
          <cell r="C13" t="str">
            <v>15002021011</v>
          </cell>
          <cell r="D13" t="str">
            <v>郭海芳</v>
          </cell>
          <cell r="E13">
            <v>62.2</v>
          </cell>
        </row>
        <row r="14">
          <cell r="C14" t="str">
            <v>15002021415</v>
          </cell>
          <cell r="D14" t="str">
            <v>吴昊月</v>
          </cell>
          <cell r="E14">
            <v>62.2</v>
          </cell>
        </row>
        <row r="15">
          <cell r="C15" t="str">
            <v>15002020709</v>
          </cell>
          <cell r="D15" t="str">
            <v>白轲欣</v>
          </cell>
          <cell r="E15">
            <v>61.3</v>
          </cell>
        </row>
        <row r="16">
          <cell r="C16" t="str">
            <v>15002020204</v>
          </cell>
          <cell r="D16" t="str">
            <v>王越欣</v>
          </cell>
          <cell r="E16">
            <v>61.2</v>
          </cell>
        </row>
        <row r="17">
          <cell r="C17" t="str">
            <v>15002020305</v>
          </cell>
          <cell r="D17" t="str">
            <v>王慧</v>
          </cell>
          <cell r="E17">
            <v>60.4</v>
          </cell>
        </row>
        <row r="18">
          <cell r="C18" t="str">
            <v>15002020905</v>
          </cell>
          <cell r="D18" t="str">
            <v>白彩艳</v>
          </cell>
          <cell r="E18">
            <v>60.1</v>
          </cell>
        </row>
        <row r="19">
          <cell r="C19" t="str">
            <v>15002020207</v>
          </cell>
          <cell r="D19" t="str">
            <v>何雪</v>
          </cell>
          <cell r="E19">
            <v>60</v>
          </cell>
        </row>
        <row r="20">
          <cell r="C20" t="str">
            <v>15002020614</v>
          </cell>
          <cell r="D20" t="str">
            <v>李璐</v>
          </cell>
          <cell r="E20">
            <v>59.9</v>
          </cell>
        </row>
        <row r="21">
          <cell r="C21" t="str">
            <v>15002020314</v>
          </cell>
          <cell r="D21" t="str">
            <v>何荣</v>
          </cell>
          <cell r="E21">
            <v>59.8</v>
          </cell>
        </row>
        <row r="22">
          <cell r="C22" t="str">
            <v>15002021107</v>
          </cell>
          <cell r="D22" t="str">
            <v>王舒暄</v>
          </cell>
          <cell r="E22">
            <v>59.6</v>
          </cell>
        </row>
        <row r="23">
          <cell r="C23" t="str">
            <v>15002021225</v>
          </cell>
          <cell r="D23" t="str">
            <v>郝敏</v>
          </cell>
          <cell r="E23">
            <v>58.9</v>
          </cell>
        </row>
        <row r="24">
          <cell r="C24" t="str">
            <v>15002021201</v>
          </cell>
          <cell r="D24" t="str">
            <v>刘丽</v>
          </cell>
          <cell r="E24">
            <v>58.7</v>
          </cell>
        </row>
        <row r="25">
          <cell r="C25" t="str">
            <v>15002021106</v>
          </cell>
          <cell r="D25" t="str">
            <v>谭明凤</v>
          </cell>
          <cell r="E25">
            <v>58.5</v>
          </cell>
        </row>
        <row r="26">
          <cell r="C26" t="str">
            <v>15002021313</v>
          </cell>
          <cell r="D26" t="str">
            <v>袁志芳</v>
          </cell>
          <cell r="E26">
            <v>58.2</v>
          </cell>
        </row>
        <row r="27">
          <cell r="C27" t="str">
            <v>15002020324</v>
          </cell>
          <cell r="D27" t="str">
            <v>张瑞</v>
          </cell>
          <cell r="E27">
            <v>57.7</v>
          </cell>
        </row>
        <row r="28">
          <cell r="C28" t="str">
            <v>15002021428</v>
          </cell>
          <cell r="D28" t="str">
            <v>吕雯雯</v>
          </cell>
          <cell r="E28">
            <v>57.6</v>
          </cell>
        </row>
        <row r="29">
          <cell r="C29" t="str">
            <v>15002021223</v>
          </cell>
          <cell r="D29" t="str">
            <v>李芳</v>
          </cell>
          <cell r="E29">
            <v>57.5</v>
          </cell>
        </row>
        <row r="30">
          <cell r="C30" t="str">
            <v>15002020307</v>
          </cell>
          <cell r="D30" t="str">
            <v>石慧芳</v>
          </cell>
          <cell r="E30">
            <v>57.4</v>
          </cell>
        </row>
        <row r="31">
          <cell r="C31" t="str">
            <v>15002020322</v>
          </cell>
          <cell r="D31" t="str">
            <v>杨慧</v>
          </cell>
          <cell r="E31">
            <v>57.4</v>
          </cell>
        </row>
        <row r="32">
          <cell r="C32" t="str">
            <v>15002020529</v>
          </cell>
          <cell r="D32" t="str">
            <v>白冰姿</v>
          </cell>
          <cell r="E32">
            <v>57.4</v>
          </cell>
        </row>
        <row r="33">
          <cell r="C33" t="str">
            <v>15002020414</v>
          </cell>
          <cell r="D33" t="str">
            <v>王敏</v>
          </cell>
          <cell r="E33">
            <v>57</v>
          </cell>
        </row>
        <row r="34">
          <cell r="C34" t="str">
            <v>15002020616</v>
          </cell>
          <cell r="D34" t="str">
            <v>高敏</v>
          </cell>
          <cell r="E34">
            <v>56.7</v>
          </cell>
        </row>
        <row r="35">
          <cell r="C35" t="str">
            <v>15002020804</v>
          </cell>
          <cell r="D35" t="str">
            <v>邱瑞敏</v>
          </cell>
          <cell r="E35">
            <v>56.7</v>
          </cell>
        </row>
        <row r="36">
          <cell r="C36" t="str">
            <v>15002021009</v>
          </cell>
          <cell r="D36" t="str">
            <v>乔敏</v>
          </cell>
          <cell r="E36">
            <v>56.4</v>
          </cell>
        </row>
        <row r="37">
          <cell r="C37" t="str">
            <v>15002021508</v>
          </cell>
          <cell r="D37" t="str">
            <v>刘慧</v>
          </cell>
          <cell r="E37">
            <v>56.4</v>
          </cell>
        </row>
        <row r="38">
          <cell r="C38" t="str">
            <v>15002021227</v>
          </cell>
          <cell r="D38" t="str">
            <v>刘畅</v>
          </cell>
          <cell r="E38">
            <v>56.3</v>
          </cell>
        </row>
        <row r="39">
          <cell r="C39" t="str">
            <v>15002021417</v>
          </cell>
          <cell r="D39" t="str">
            <v>项璐</v>
          </cell>
          <cell r="E39">
            <v>56.3</v>
          </cell>
        </row>
        <row r="40">
          <cell r="C40" t="str">
            <v>15002021028</v>
          </cell>
          <cell r="D40" t="str">
            <v>郁摇蓝</v>
          </cell>
          <cell r="E40">
            <v>55.9</v>
          </cell>
        </row>
        <row r="41">
          <cell r="C41" t="str">
            <v>15002020326</v>
          </cell>
          <cell r="D41" t="str">
            <v>王娜</v>
          </cell>
          <cell r="E41">
            <v>55.6</v>
          </cell>
        </row>
        <row r="42">
          <cell r="C42" t="str">
            <v>15002020708</v>
          </cell>
          <cell r="D42" t="str">
            <v>郝舒婷</v>
          </cell>
          <cell r="E42">
            <v>55.6</v>
          </cell>
        </row>
        <row r="43">
          <cell r="C43" t="str">
            <v>15002020325</v>
          </cell>
          <cell r="D43" t="str">
            <v>闫晓艳</v>
          </cell>
          <cell r="E43">
            <v>55.4</v>
          </cell>
        </row>
        <row r="44">
          <cell r="C44" t="str">
            <v>15002020115</v>
          </cell>
          <cell r="D44" t="str">
            <v>高慧</v>
          </cell>
          <cell r="E44">
            <v>55.3</v>
          </cell>
        </row>
        <row r="45">
          <cell r="C45" t="str">
            <v>15002021008</v>
          </cell>
          <cell r="D45" t="str">
            <v>白丽</v>
          </cell>
          <cell r="E45">
            <v>55.3</v>
          </cell>
        </row>
        <row r="46">
          <cell r="C46" t="str">
            <v>15002021423</v>
          </cell>
          <cell r="D46" t="str">
            <v>高圆</v>
          </cell>
          <cell r="E46">
            <v>55.3</v>
          </cell>
        </row>
        <row r="47">
          <cell r="C47" t="str">
            <v>15002020317</v>
          </cell>
          <cell r="D47" t="str">
            <v>刘红婕</v>
          </cell>
          <cell r="E47">
            <v>55.1</v>
          </cell>
        </row>
        <row r="48">
          <cell r="C48" t="str">
            <v>15002021212</v>
          </cell>
          <cell r="D48" t="str">
            <v>王佳源</v>
          </cell>
          <cell r="E48">
            <v>55</v>
          </cell>
        </row>
        <row r="49">
          <cell r="C49" t="str">
            <v>15002020515</v>
          </cell>
          <cell r="D49" t="str">
            <v>朱瑞霞</v>
          </cell>
          <cell r="E49">
            <v>54.5</v>
          </cell>
        </row>
        <row r="50">
          <cell r="C50" t="str">
            <v>15002020201</v>
          </cell>
          <cell r="D50" t="str">
            <v>道特桑</v>
          </cell>
          <cell r="E50">
            <v>54.4</v>
          </cell>
        </row>
        <row r="51">
          <cell r="C51" t="str">
            <v>15002020617</v>
          </cell>
          <cell r="D51" t="str">
            <v>袁昕佑</v>
          </cell>
          <cell r="E51">
            <v>54.3</v>
          </cell>
        </row>
        <row r="52">
          <cell r="C52" t="str">
            <v>15002020811</v>
          </cell>
          <cell r="D52" t="str">
            <v>康佳</v>
          </cell>
          <cell r="E52">
            <v>54.2</v>
          </cell>
        </row>
        <row r="53">
          <cell r="C53" t="str">
            <v>15002021402</v>
          </cell>
          <cell r="D53" t="str">
            <v>杨倩</v>
          </cell>
          <cell r="E53">
            <v>54</v>
          </cell>
        </row>
        <row r="54">
          <cell r="C54" t="str">
            <v>15002020612</v>
          </cell>
          <cell r="D54" t="str">
            <v>王荣荣</v>
          </cell>
          <cell r="E54">
            <v>53.8</v>
          </cell>
        </row>
        <row r="55">
          <cell r="C55" t="str">
            <v>15002021229</v>
          </cell>
          <cell r="D55" t="str">
            <v>刘慧</v>
          </cell>
          <cell r="E55">
            <v>53.5</v>
          </cell>
        </row>
        <row r="56">
          <cell r="C56" t="str">
            <v>15002020818</v>
          </cell>
          <cell r="D56" t="str">
            <v>杜炳毅</v>
          </cell>
          <cell r="E56">
            <v>53.3</v>
          </cell>
        </row>
        <row r="57">
          <cell r="C57" t="str">
            <v>15002020509</v>
          </cell>
          <cell r="D57" t="str">
            <v>王悦</v>
          </cell>
          <cell r="E57">
            <v>53.2</v>
          </cell>
        </row>
        <row r="58">
          <cell r="C58" t="str">
            <v>15002021527</v>
          </cell>
          <cell r="D58" t="str">
            <v>朱彤</v>
          </cell>
          <cell r="E58">
            <v>53.2</v>
          </cell>
        </row>
        <row r="59">
          <cell r="C59" t="str">
            <v>15002021321</v>
          </cell>
          <cell r="D59" t="str">
            <v>托雅</v>
          </cell>
          <cell r="E59">
            <v>52.5</v>
          </cell>
        </row>
        <row r="60">
          <cell r="C60" t="str">
            <v>15002020610</v>
          </cell>
          <cell r="D60" t="str">
            <v>卢雪荣</v>
          </cell>
          <cell r="E60">
            <v>52.4</v>
          </cell>
        </row>
        <row r="61">
          <cell r="C61" t="str">
            <v>15002020901</v>
          </cell>
          <cell r="D61" t="str">
            <v>王晓彤</v>
          </cell>
          <cell r="E61">
            <v>52.4</v>
          </cell>
        </row>
        <row r="62">
          <cell r="C62" t="str">
            <v>15002021025</v>
          </cell>
          <cell r="D62" t="str">
            <v>乌日娜</v>
          </cell>
          <cell r="E62">
            <v>52.3</v>
          </cell>
        </row>
        <row r="63">
          <cell r="C63" t="str">
            <v>15002021430</v>
          </cell>
          <cell r="D63" t="str">
            <v>杨帆</v>
          </cell>
          <cell r="E63">
            <v>52.3</v>
          </cell>
        </row>
        <row r="64">
          <cell r="C64" t="str">
            <v>15002020211</v>
          </cell>
          <cell r="D64" t="str">
            <v>苏龙高娃</v>
          </cell>
          <cell r="E64">
            <v>52.2</v>
          </cell>
        </row>
        <row r="65">
          <cell r="C65" t="str">
            <v>15002020107</v>
          </cell>
          <cell r="D65" t="str">
            <v>赵美蓉</v>
          </cell>
          <cell r="E65">
            <v>52</v>
          </cell>
        </row>
        <row r="66">
          <cell r="C66" t="str">
            <v>15002021124</v>
          </cell>
          <cell r="D66" t="str">
            <v>武宝玉</v>
          </cell>
          <cell r="E66">
            <v>51.9</v>
          </cell>
        </row>
        <row r="67">
          <cell r="C67" t="str">
            <v>15002021308</v>
          </cell>
          <cell r="D67" t="str">
            <v>呼蓉</v>
          </cell>
          <cell r="E67">
            <v>51.9</v>
          </cell>
        </row>
        <row r="68">
          <cell r="C68" t="str">
            <v>15002020116</v>
          </cell>
          <cell r="D68" t="str">
            <v>呼斯乐其其格</v>
          </cell>
          <cell r="E68">
            <v>51.8</v>
          </cell>
        </row>
        <row r="69">
          <cell r="C69" t="str">
            <v>15002021425</v>
          </cell>
          <cell r="D69" t="str">
            <v>王宇涛</v>
          </cell>
          <cell r="E69">
            <v>51.8</v>
          </cell>
        </row>
        <row r="70">
          <cell r="C70" t="str">
            <v>15002020712</v>
          </cell>
          <cell r="D70" t="str">
            <v>王婷</v>
          </cell>
          <cell r="E70">
            <v>51.5</v>
          </cell>
        </row>
        <row r="71">
          <cell r="C71" t="str">
            <v>15002020618</v>
          </cell>
          <cell r="D71" t="str">
            <v>童丹蓉</v>
          </cell>
          <cell r="E71">
            <v>51.4</v>
          </cell>
        </row>
        <row r="72">
          <cell r="C72" t="str">
            <v>15002020919</v>
          </cell>
          <cell r="D72" t="str">
            <v>高慧</v>
          </cell>
          <cell r="E72">
            <v>51.4</v>
          </cell>
        </row>
        <row r="73">
          <cell r="C73" t="str">
            <v>15002021325</v>
          </cell>
          <cell r="D73" t="str">
            <v>赵婷</v>
          </cell>
          <cell r="E73">
            <v>51.4</v>
          </cell>
        </row>
      </sheetData>
      <sheetData sheetId="2">
        <row r="3">
          <cell r="C3" t="str">
            <v>15003021730</v>
          </cell>
          <cell r="D3" t="str">
            <v>萨楚日勒</v>
          </cell>
          <cell r="E3">
            <v>78.9</v>
          </cell>
        </row>
        <row r="4">
          <cell r="C4" t="str">
            <v>15003023426</v>
          </cell>
          <cell r="D4" t="str">
            <v>马存山</v>
          </cell>
          <cell r="E4">
            <v>73.8</v>
          </cell>
        </row>
        <row r="5">
          <cell r="C5" t="str">
            <v>15003021922</v>
          </cell>
          <cell r="D5" t="str">
            <v>王占峰</v>
          </cell>
          <cell r="E5">
            <v>73.2</v>
          </cell>
        </row>
        <row r="6">
          <cell r="C6" t="str">
            <v>15003022828</v>
          </cell>
          <cell r="D6" t="str">
            <v>郝鑫瑞</v>
          </cell>
          <cell r="E6">
            <v>71</v>
          </cell>
        </row>
        <row r="7">
          <cell r="C7" t="str">
            <v>15003022819</v>
          </cell>
          <cell r="D7" t="str">
            <v>郝元</v>
          </cell>
          <cell r="E7">
            <v>68.9</v>
          </cell>
        </row>
        <row r="8">
          <cell r="C8" t="str">
            <v>15003022403</v>
          </cell>
          <cell r="D8" t="str">
            <v>徐伟</v>
          </cell>
          <cell r="E8">
            <v>68.8</v>
          </cell>
        </row>
        <row r="9">
          <cell r="C9" t="str">
            <v>15003022221</v>
          </cell>
          <cell r="D9" t="str">
            <v>贾宇</v>
          </cell>
          <cell r="E9">
            <v>66.9</v>
          </cell>
        </row>
        <row r="10">
          <cell r="C10" t="str">
            <v>15003023023</v>
          </cell>
          <cell r="D10" t="str">
            <v>程飞</v>
          </cell>
          <cell r="E10">
            <v>66.9</v>
          </cell>
        </row>
        <row r="11">
          <cell r="C11" t="str">
            <v>15003023303</v>
          </cell>
          <cell r="D11" t="str">
            <v>常昊</v>
          </cell>
          <cell r="E11">
            <v>66.8</v>
          </cell>
        </row>
        <row r="12">
          <cell r="C12" t="str">
            <v>15003021630</v>
          </cell>
          <cell r="D12" t="str">
            <v>杨德志</v>
          </cell>
          <cell r="E12">
            <v>65.8</v>
          </cell>
        </row>
        <row r="13">
          <cell r="C13" t="str">
            <v>15003023402</v>
          </cell>
          <cell r="D13" t="str">
            <v>魏子乐</v>
          </cell>
          <cell r="E13">
            <v>65.7</v>
          </cell>
        </row>
        <row r="14">
          <cell r="C14" t="str">
            <v>15003024123</v>
          </cell>
          <cell r="D14" t="str">
            <v>范凯杰</v>
          </cell>
          <cell r="E14">
            <v>65.6</v>
          </cell>
        </row>
        <row r="15">
          <cell r="C15" t="str">
            <v>15003022012</v>
          </cell>
          <cell r="D15" t="str">
            <v>王月凯</v>
          </cell>
          <cell r="E15">
            <v>65.3</v>
          </cell>
        </row>
        <row r="16">
          <cell r="C16" t="str">
            <v>15003023617</v>
          </cell>
          <cell r="D16" t="str">
            <v>郝士清</v>
          </cell>
          <cell r="E16">
            <v>65.2</v>
          </cell>
        </row>
        <row r="17">
          <cell r="C17" t="str">
            <v>15003022317</v>
          </cell>
          <cell r="D17" t="str">
            <v>刘欢</v>
          </cell>
          <cell r="E17">
            <v>65</v>
          </cell>
        </row>
        <row r="18">
          <cell r="C18" t="str">
            <v>15003024206</v>
          </cell>
          <cell r="D18" t="str">
            <v>王杰</v>
          </cell>
          <cell r="E18">
            <v>64.7</v>
          </cell>
        </row>
        <row r="19">
          <cell r="C19" t="str">
            <v>15003023119</v>
          </cell>
          <cell r="D19" t="str">
            <v>阿其太</v>
          </cell>
          <cell r="E19">
            <v>64.5</v>
          </cell>
        </row>
        <row r="20">
          <cell r="C20" t="str">
            <v>15003023710</v>
          </cell>
          <cell r="D20" t="str">
            <v>王雪康</v>
          </cell>
          <cell r="E20">
            <v>64</v>
          </cell>
        </row>
        <row r="21">
          <cell r="C21" t="str">
            <v>15003023204</v>
          </cell>
          <cell r="D21" t="str">
            <v>秦雄</v>
          </cell>
          <cell r="E21">
            <v>63.1</v>
          </cell>
        </row>
        <row r="22">
          <cell r="C22" t="str">
            <v>15003022302</v>
          </cell>
          <cell r="D22" t="str">
            <v>赵磊</v>
          </cell>
          <cell r="E22">
            <v>62.8</v>
          </cell>
        </row>
        <row r="23">
          <cell r="C23" t="str">
            <v>15003022205</v>
          </cell>
          <cell r="D23" t="str">
            <v>王茂忠</v>
          </cell>
          <cell r="E23">
            <v>62.7</v>
          </cell>
        </row>
        <row r="24">
          <cell r="C24" t="str">
            <v>15003022921</v>
          </cell>
          <cell r="D24" t="str">
            <v>李岗</v>
          </cell>
          <cell r="E24">
            <v>61.8</v>
          </cell>
        </row>
        <row r="25">
          <cell r="C25" t="str">
            <v>15003022611</v>
          </cell>
          <cell r="D25" t="str">
            <v>刘超</v>
          </cell>
          <cell r="E25">
            <v>61.7</v>
          </cell>
        </row>
        <row r="26">
          <cell r="C26" t="str">
            <v>15003022504</v>
          </cell>
          <cell r="D26" t="str">
            <v>郑陟炜</v>
          </cell>
          <cell r="E26">
            <v>61.6</v>
          </cell>
        </row>
        <row r="27">
          <cell r="C27" t="str">
            <v>15003022518</v>
          </cell>
          <cell r="D27" t="str">
            <v>王奕渊</v>
          </cell>
          <cell r="E27">
            <v>61</v>
          </cell>
        </row>
        <row r="28">
          <cell r="C28" t="str">
            <v>15003022823</v>
          </cell>
          <cell r="D28" t="str">
            <v>张琐</v>
          </cell>
          <cell r="E28">
            <v>60.7</v>
          </cell>
        </row>
        <row r="29">
          <cell r="C29" t="str">
            <v>15003022122</v>
          </cell>
          <cell r="D29" t="str">
            <v>刘向</v>
          </cell>
          <cell r="E29">
            <v>60.5</v>
          </cell>
        </row>
        <row r="30">
          <cell r="C30" t="str">
            <v>15003021726</v>
          </cell>
          <cell r="D30" t="str">
            <v>呼格吉乐</v>
          </cell>
          <cell r="E30">
            <v>60.2</v>
          </cell>
        </row>
        <row r="31">
          <cell r="C31" t="str">
            <v>15003023725</v>
          </cell>
          <cell r="D31" t="str">
            <v>袁浩</v>
          </cell>
          <cell r="E31">
            <v>60</v>
          </cell>
        </row>
        <row r="32">
          <cell r="C32" t="str">
            <v>15003022606</v>
          </cell>
          <cell r="D32" t="str">
            <v>高宇田</v>
          </cell>
          <cell r="E32">
            <v>59.9</v>
          </cell>
        </row>
        <row r="33">
          <cell r="C33" t="str">
            <v>15003023816</v>
          </cell>
          <cell r="D33" t="str">
            <v>郭鹏</v>
          </cell>
          <cell r="E33">
            <v>59.7</v>
          </cell>
        </row>
        <row r="34">
          <cell r="C34" t="str">
            <v>15003022315</v>
          </cell>
          <cell r="D34" t="str">
            <v>郝旭东</v>
          </cell>
          <cell r="E34">
            <v>59.6</v>
          </cell>
        </row>
        <row r="35">
          <cell r="C35" t="str">
            <v>15003021827</v>
          </cell>
          <cell r="D35" t="str">
            <v>郝云平</v>
          </cell>
          <cell r="E35">
            <v>59.3</v>
          </cell>
        </row>
        <row r="36">
          <cell r="C36" t="str">
            <v>15003022209</v>
          </cell>
          <cell r="D36" t="str">
            <v>云浩</v>
          </cell>
          <cell r="E36">
            <v>59.3</v>
          </cell>
        </row>
        <row r="37">
          <cell r="C37" t="str">
            <v>15003022502</v>
          </cell>
          <cell r="D37" t="str">
            <v>王耀禄</v>
          </cell>
          <cell r="E37">
            <v>58.9</v>
          </cell>
        </row>
        <row r="38">
          <cell r="C38" t="str">
            <v>15003024112</v>
          </cell>
          <cell r="D38" t="str">
            <v>张耀华</v>
          </cell>
          <cell r="E38">
            <v>58.8</v>
          </cell>
        </row>
        <row r="39">
          <cell r="C39" t="str">
            <v>15003023016</v>
          </cell>
          <cell r="D39" t="str">
            <v>李越</v>
          </cell>
          <cell r="E39">
            <v>58.7</v>
          </cell>
        </row>
        <row r="40">
          <cell r="C40" t="str">
            <v>15003023805</v>
          </cell>
          <cell r="D40" t="str">
            <v>李泽昊</v>
          </cell>
          <cell r="E40">
            <v>58.5</v>
          </cell>
        </row>
        <row r="41">
          <cell r="C41" t="str">
            <v>15003023313</v>
          </cell>
          <cell r="D41" t="str">
            <v>贾天</v>
          </cell>
          <cell r="E41">
            <v>58.4</v>
          </cell>
        </row>
        <row r="42">
          <cell r="C42" t="str">
            <v>15003022110</v>
          </cell>
          <cell r="D42" t="str">
            <v>刘子峰</v>
          </cell>
          <cell r="E42">
            <v>58.2</v>
          </cell>
        </row>
        <row r="43">
          <cell r="C43" t="str">
            <v>15003021715</v>
          </cell>
          <cell r="D43" t="str">
            <v>魏熠辉</v>
          </cell>
          <cell r="E43">
            <v>58.1</v>
          </cell>
        </row>
        <row r="44">
          <cell r="C44" t="str">
            <v>15003023206</v>
          </cell>
          <cell r="D44" t="str">
            <v>李瑞峰</v>
          </cell>
          <cell r="E44">
            <v>58.1</v>
          </cell>
        </row>
        <row r="45">
          <cell r="C45" t="str">
            <v>15003022312</v>
          </cell>
          <cell r="D45" t="str">
            <v>郝骐瑞</v>
          </cell>
          <cell r="E45">
            <v>58</v>
          </cell>
        </row>
        <row r="46">
          <cell r="C46" t="str">
            <v>15003021910</v>
          </cell>
          <cell r="D46" t="str">
            <v>赵飞云</v>
          </cell>
          <cell r="E46">
            <v>57.6</v>
          </cell>
        </row>
        <row r="47">
          <cell r="C47" t="str">
            <v>15003022425</v>
          </cell>
          <cell r="D47" t="str">
            <v>任耀飞</v>
          </cell>
          <cell r="E47">
            <v>57.5</v>
          </cell>
        </row>
        <row r="48">
          <cell r="C48" t="str">
            <v>15003023221</v>
          </cell>
          <cell r="D48" t="str">
            <v>郝银豹</v>
          </cell>
          <cell r="E48">
            <v>57.5</v>
          </cell>
        </row>
        <row r="49">
          <cell r="C49" t="str">
            <v>15003022219</v>
          </cell>
          <cell r="D49" t="str">
            <v>王星宇</v>
          </cell>
          <cell r="E49">
            <v>57.3</v>
          </cell>
        </row>
        <row r="50">
          <cell r="C50" t="str">
            <v>15003023117</v>
          </cell>
          <cell r="D50" t="str">
            <v>王璞</v>
          </cell>
          <cell r="E50">
            <v>57.2</v>
          </cell>
        </row>
        <row r="51">
          <cell r="C51" t="str">
            <v>15003023220</v>
          </cell>
          <cell r="D51" t="str">
            <v>曹正明</v>
          </cell>
          <cell r="E51">
            <v>56.1</v>
          </cell>
        </row>
        <row r="52">
          <cell r="C52" t="str">
            <v>15003022912</v>
          </cell>
          <cell r="D52" t="str">
            <v>高宏伟</v>
          </cell>
          <cell r="E52">
            <v>55.8</v>
          </cell>
        </row>
        <row r="53">
          <cell r="C53" t="str">
            <v>15003022624</v>
          </cell>
          <cell r="D53" t="str">
            <v>王轩</v>
          </cell>
          <cell r="E53">
            <v>55.7</v>
          </cell>
        </row>
        <row r="54">
          <cell r="C54" t="str">
            <v>15003022902</v>
          </cell>
          <cell r="D54" t="str">
            <v>刘涛</v>
          </cell>
          <cell r="E54">
            <v>55.7</v>
          </cell>
        </row>
        <row r="55">
          <cell r="C55" t="str">
            <v>15003023910</v>
          </cell>
          <cell r="D55" t="str">
            <v>靳建国</v>
          </cell>
          <cell r="E55">
            <v>55.5</v>
          </cell>
        </row>
        <row r="56">
          <cell r="C56" t="str">
            <v>15003022919</v>
          </cell>
          <cell r="D56" t="str">
            <v>乔乐</v>
          </cell>
          <cell r="E56">
            <v>55.4</v>
          </cell>
        </row>
        <row r="57">
          <cell r="C57" t="str">
            <v>15003022729</v>
          </cell>
          <cell r="D57" t="str">
            <v>孟科</v>
          </cell>
          <cell r="E57">
            <v>55.1</v>
          </cell>
        </row>
        <row r="58">
          <cell r="C58" t="str">
            <v>15003023908</v>
          </cell>
          <cell r="D58" t="str">
            <v>赵鑫</v>
          </cell>
          <cell r="E58">
            <v>55.1</v>
          </cell>
        </row>
        <row r="59">
          <cell r="C59" t="str">
            <v>15003022318</v>
          </cell>
          <cell r="D59" t="str">
            <v>乔保龙</v>
          </cell>
          <cell r="E59">
            <v>55</v>
          </cell>
        </row>
        <row r="60">
          <cell r="C60" t="str">
            <v>15003021624</v>
          </cell>
          <cell r="D60" t="str">
            <v>韩凯</v>
          </cell>
          <cell r="E60">
            <v>54.9</v>
          </cell>
        </row>
        <row r="61">
          <cell r="C61" t="str">
            <v>15003022207</v>
          </cell>
          <cell r="D61" t="str">
            <v>马俊卿</v>
          </cell>
          <cell r="E61">
            <v>54.9</v>
          </cell>
        </row>
        <row r="62">
          <cell r="C62" t="str">
            <v>15003022422</v>
          </cell>
          <cell r="D62" t="str">
            <v>王旭东</v>
          </cell>
          <cell r="E62">
            <v>54.8</v>
          </cell>
        </row>
        <row r="63">
          <cell r="C63" t="str">
            <v>15003023812</v>
          </cell>
          <cell r="D63" t="str">
            <v>李弘奇</v>
          </cell>
          <cell r="E63">
            <v>54.5</v>
          </cell>
        </row>
        <row r="64">
          <cell r="C64" t="str">
            <v>15003023504</v>
          </cell>
          <cell r="D64" t="str">
            <v>郑腾飞</v>
          </cell>
          <cell r="E64">
            <v>54.4</v>
          </cell>
        </row>
        <row r="65">
          <cell r="C65" t="str">
            <v>15003022105</v>
          </cell>
          <cell r="D65" t="str">
            <v>张钰兵</v>
          </cell>
          <cell r="E65">
            <v>54.3</v>
          </cell>
        </row>
        <row r="66">
          <cell r="C66" t="str">
            <v>15003022009</v>
          </cell>
          <cell r="D66" t="str">
            <v>武號敦</v>
          </cell>
          <cell r="E66">
            <v>54.2</v>
          </cell>
        </row>
        <row r="67">
          <cell r="C67" t="str">
            <v>15003023627</v>
          </cell>
          <cell r="D67" t="str">
            <v>王珈琨</v>
          </cell>
          <cell r="E67">
            <v>54.2</v>
          </cell>
        </row>
        <row r="68">
          <cell r="C68" t="str">
            <v>15003024110</v>
          </cell>
          <cell r="D68" t="str">
            <v>宋金儒</v>
          </cell>
          <cell r="E68">
            <v>54.2</v>
          </cell>
        </row>
        <row r="69">
          <cell r="C69" t="str">
            <v>15003023005</v>
          </cell>
          <cell r="D69" t="str">
            <v>陈杰</v>
          </cell>
          <cell r="E69">
            <v>54.1</v>
          </cell>
        </row>
        <row r="70">
          <cell r="C70" t="str">
            <v>15003022705</v>
          </cell>
          <cell r="D70" t="str">
            <v>康琛越</v>
          </cell>
          <cell r="E70">
            <v>53.9</v>
          </cell>
        </row>
        <row r="71">
          <cell r="C71" t="str">
            <v>15003022609</v>
          </cell>
          <cell r="D71" t="str">
            <v>青哈</v>
          </cell>
          <cell r="E71">
            <v>53.2</v>
          </cell>
        </row>
        <row r="72">
          <cell r="C72" t="str">
            <v>15003023629</v>
          </cell>
          <cell r="D72" t="str">
            <v>杨泽智</v>
          </cell>
          <cell r="E72">
            <v>53.2</v>
          </cell>
        </row>
        <row r="73">
          <cell r="C73" t="str">
            <v>15003022918</v>
          </cell>
          <cell r="D73" t="str">
            <v>叶牛牛</v>
          </cell>
          <cell r="E73">
            <v>53.1</v>
          </cell>
        </row>
        <row r="74">
          <cell r="C74" t="str">
            <v>15003023002</v>
          </cell>
          <cell r="D74" t="str">
            <v>姬苏洋</v>
          </cell>
          <cell r="E74">
            <v>53.1</v>
          </cell>
        </row>
        <row r="75">
          <cell r="C75" t="str">
            <v>15003023027</v>
          </cell>
          <cell r="D75" t="str">
            <v>达布拉干</v>
          </cell>
          <cell r="E75">
            <v>53</v>
          </cell>
        </row>
        <row r="76">
          <cell r="C76" t="str">
            <v>15003023314</v>
          </cell>
          <cell r="D76" t="str">
            <v>郭德伟</v>
          </cell>
          <cell r="E76">
            <v>52.9</v>
          </cell>
        </row>
        <row r="77">
          <cell r="C77" t="str">
            <v>15003021713</v>
          </cell>
          <cell r="D77" t="str">
            <v>李磊</v>
          </cell>
          <cell r="E77">
            <v>52.8</v>
          </cell>
        </row>
        <row r="78">
          <cell r="C78" t="str">
            <v>15003022020</v>
          </cell>
          <cell r="D78" t="str">
            <v>王海鹏</v>
          </cell>
          <cell r="E78">
            <v>52.8</v>
          </cell>
        </row>
        <row r="79">
          <cell r="C79" t="str">
            <v>15003024113</v>
          </cell>
          <cell r="D79" t="str">
            <v>杨帅</v>
          </cell>
          <cell r="E79">
            <v>52.8</v>
          </cell>
        </row>
        <row r="80">
          <cell r="C80" t="str">
            <v>15003022111</v>
          </cell>
          <cell r="D80" t="str">
            <v>张家竹</v>
          </cell>
          <cell r="E80">
            <v>52.6</v>
          </cell>
        </row>
        <row r="81">
          <cell r="C81" t="str">
            <v>15003023527</v>
          </cell>
          <cell r="D81" t="str">
            <v>李昭宇</v>
          </cell>
          <cell r="E81">
            <v>52.5</v>
          </cell>
        </row>
        <row r="82">
          <cell r="C82" t="str">
            <v>15003024030</v>
          </cell>
          <cell r="D82" t="str">
            <v>徐锐泽</v>
          </cell>
          <cell r="E82">
            <v>52.4</v>
          </cell>
        </row>
        <row r="83">
          <cell r="C83" t="str">
            <v>15003023708</v>
          </cell>
          <cell r="D83" t="str">
            <v>林渊</v>
          </cell>
          <cell r="E83">
            <v>52</v>
          </cell>
        </row>
        <row r="84">
          <cell r="C84" t="str">
            <v>15003023722</v>
          </cell>
          <cell r="D84" t="str">
            <v>田瑞军</v>
          </cell>
          <cell r="E84">
            <v>51.8</v>
          </cell>
        </row>
        <row r="85">
          <cell r="C85" t="str">
            <v>15003022224</v>
          </cell>
          <cell r="D85" t="str">
            <v>王源</v>
          </cell>
          <cell r="E85">
            <v>51.6</v>
          </cell>
        </row>
        <row r="86">
          <cell r="C86" t="str">
            <v>15003023822</v>
          </cell>
          <cell r="D86" t="str">
            <v>王靖伟</v>
          </cell>
          <cell r="E86">
            <v>51.6</v>
          </cell>
        </row>
        <row r="87">
          <cell r="C87" t="str">
            <v>15003024111</v>
          </cell>
          <cell r="D87" t="str">
            <v>达布拉干</v>
          </cell>
          <cell r="E87">
            <v>51.5</v>
          </cell>
        </row>
        <row r="88">
          <cell r="C88" t="str">
            <v>15003022216</v>
          </cell>
          <cell r="D88" t="str">
            <v>郭伟</v>
          </cell>
          <cell r="E88">
            <v>51.4</v>
          </cell>
        </row>
        <row r="89">
          <cell r="C89" t="str">
            <v>15003022710</v>
          </cell>
          <cell r="D89" t="str">
            <v>刘浩博</v>
          </cell>
          <cell r="E89">
            <v>51.3</v>
          </cell>
        </row>
        <row r="90">
          <cell r="C90" t="str">
            <v>15003022214</v>
          </cell>
          <cell r="D90" t="str">
            <v>付宣源</v>
          </cell>
          <cell r="E90">
            <v>51.2</v>
          </cell>
        </row>
      </sheetData>
      <sheetData sheetId="3">
        <row r="3">
          <cell r="C3" t="str">
            <v>15004011525</v>
          </cell>
          <cell r="D3" t="str">
            <v>王嘉韬</v>
          </cell>
          <cell r="E3">
            <v>78.2</v>
          </cell>
        </row>
        <row r="4">
          <cell r="C4" t="str">
            <v>15004012427</v>
          </cell>
          <cell r="D4" t="str">
            <v>赵茹</v>
          </cell>
          <cell r="E4">
            <v>71.1</v>
          </cell>
        </row>
        <row r="5">
          <cell r="C5" t="str">
            <v>15004012614</v>
          </cell>
          <cell r="D5" t="str">
            <v>王楠</v>
          </cell>
          <cell r="E5">
            <v>70.6</v>
          </cell>
        </row>
        <row r="6">
          <cell r="C6" t="str">
            <v>15004012118</v>
          </cell>
          <cell r="D6" t="str">
            <v>张海燕</v>
          </cell>
          <cell r="E6">
            <v>70.4</v>
          </cell>
        </row>
        <row r="7">
          <cell r="C7" t="str">
            <v>15004013419</v>
          </cell>
          <cell r="D7" t="str">
            <v>黄玉荣</v>
          </cell>
          <cell r="E7">
            <v>69.9</v>
          </cell>
        </row>
        <row r="8">
          <cell r="C8" t="str">
            <v>15004013417</v>
          </cell>
          <cell r="D8" t="str">
            <v>马慧</v>
          </cell>
          <cell r="E8">
            <v>68.5</v>
          </cell>
        </row>
        <row r="9">
          <cell r="C9" t="str">
            <v>15004012814</v>
          </cell>
          <cell r="D9" t="str">
            <v>赵丽</v>
          </cell>
          <cell r="E9">
            <v>68.2</v>
          </cell>
        </row>
        <row r="10">
          <cell r="C10" t="str">
            <v>15004011828</v>
          </cell>
          <cell r="D10" t="str">
            <v>王雪羽</v>
          </cell>
          <cell r="E10">
            <v>67.6</v>
          </cell>
        </row>
        <row r="11">
          <cell r="C11" t="str">
            <v>15004013401</v>
          </cell>
          <cell r="D11" t="str">
            <v>李玉</v>
          </cell>
          <cell r="E11">
            <v>67.4</v>
          </cell>
        </row>
        <row r="12">
          <cell r="C12" t="str">
            <v>15004011920</v>
          </cell>
          <cell r="D12" t="str">
            <v>张婷</v>
          </cell>
          <cell r="E12">
            <v>67.2</v>
          </cell>
        </row>
        <row r="13">
          <cell r="C13" t="str">
            <v>15004013208</v>
          </cell>
          <cell r="D13" t="str">
            <v>张天天</v>
          </cell>
          <cell r="E13">
            <v>66.4</v>
          </cell>
        </row>
        <row r="14">
          <cell r="C14" t="str">
            <v>15004011523</v>
          </cell>
          <cell r="D14" t="str">
            <v>林雨</v>
          </cell>
          <cell r="E14">
            <v>66.2</v>
          </cell>
        </row>
        <row r="15">
          <cell r="C15" t="str">
            <v>15004012525</v>
          </cell>
          <cell r="D15" t="str">
            <v>李悦</v>
          </cell>
          <cell r="E15">
            <v>66.1</v>
          </cell>
        </row>
        <row r="16">
          <cell r="C16" t="str">
            <v>15004013019</v>
          </cell>
          <cell r="D16" t="str">
            <v>郭聃</v>
          </cell>
          <cell r="E16">
            <v>65.9</v>
          </cell>
        </row>
        <row r="17">
          <cell r="C17" t="str">
            <v>15004012526</v>
          </cell>
          <cell r="D17" t="str">
            <v>张甜</v>
          </cell>
          <cell r="E17">
            <v>65.7</v>
          </cell>
        </row>
        <row r="18">
          <cell r="C18" t="str">
            <v>15004011714</v>
          </cell>
          <cell r="D18" t="str">
            <v>王姣</v>
          </cell>
          <cell r="E18">
            <v>64.9</v>
          </cell>
        </row>
        <row r="19">
          <cell r="C19" t="str">
            <v>15004012230</v>
          </cell>
          <cell r="D19" t="str">
            <v>杨在</v>
          </cell>
          <cell r="E19">
            <v>64.5</v>
          </cell>
        </row>
        <row r="20">
          <cell r="C20" t="str">
            <v>15004013519</v>
          </cell>
          <cell r="D20" t="str">
            <v>王荣</v>
          </cell>
          <cell r="E20">
            <v>63.7</v>
          </cell>
        </row>
        <row r="21">
          <cell r="C21" t="str">
            <v>15004011620</v>
          </cell>
          <cell r="D21" t="str">
            <v>高心</v>
          </cell>
          <cell r="E21">
            <v>63.2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7"/>
  <sheetViews>
    <sheetView tabSelected="1" workbookViewId="0">
      <selection activeCell="E3" sqref="E3"/>
    </sheetView>
  </sheetViews>
  <sheetFormatPr defaultColWidth="9" defaultRowHeight="15" customHeight="1"/>
  <cols>
    <col min="1" max="1" width="6.875" style="2" customWidth="1"/>
    <col min="2" max="2" width="18.625" style="2" customWidth="1"/>
    <col min="3" max="3" width="22.375" style="2" customWidth="1"/>
    <col min="4" max="4" width="15" style="1" customWidth="1"/>
    <col min="5" max="5" width="21.125" style="12" customWidth="1"/>
    <col min="6" max="6" width="15" style="12" customWidth="1"/>
    <col min="7" max="7" width="22.75" style="12" customWidth="1"/>
    <col min="8" max="8" width="15.25" style="12" customWidth="1"/>
    <col min="9" max="9" width="18.625" style="1" customWidth="1"/>
    <col min="10" max="16384" width="9" style="1"/>
  </cols>
  <sheetData>
    <row r="1" s="1" customFormat="1" ht="3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31" customHeight="1" spans="1:9">
      <c r="A3" s="16">
        <v>1</v>
      </c>
      <c r="B3" s="16" t="str">
        <f>"15001010619"</f>
        <v>15001010619</v>
      </c>
      <c r="C3" s="16" t="str">
        <f>"张子龙"</f>
        <v>张子龙</v>
      </c>
      <c r="D3" s="16">
        <f>VLOOKUP(B3,'[1]01-伊旗籍男岗'!$C$3:$E$127,3,FALSE)</f>
        <v>66</v>
      </c>
      <c r="E3" s="17">
        <f t="shared" ref="E3:E66" si="0">D3*0.6</f>
        <v>39.6</v>
      </c>
      <c r="F3" s="17">
        <v>75.092</v>
      </c>
      <c r="G3" s="17">
        <f t="shared" ref="G3:G66" si="1">F3*0.4</f>
        <v>30.0368</v>
      </c>
      <c r="H3" s="17">
        <f t="shared" ref="H3:H66" si="2">E3+G3</f>
        <v>69.6368</v>
      </c>
      <c r="I3" s="17" t="s">
        <v>10</v>
      </c>
    </row>
    <row r="4" s="1" customFormat="1" ht="31" customHeight="1" spans="1:9">
      <c r="A4" s="18">
        <v>2</v>
      </c>
      <c r="B4" s="18" t="str">
        <f>"15001010310"</f>
        <v>15001010310</v>
      </c>
      <c r="C4" s="18" t="str">
        <f>"王东伟"</f>
        <v>王东伟</v>
      </c>
      <c r="D4" s="18">
        <f>VLOOKUP(B4,'[1]01-伊旗籍男岗'!$C$3:$E$127,3,FALSE)</f>
        <v>64.7</v>
      </c>
      <c r="E4" s="19">
        <f t="shared" si="0"/>
        <v>38.82</v>
      </c>
      <c r="F4" s="19">
        <v>73.652</v>
      </c>
      <c r="G4" s="19">
        <f t="shared" si="1"/>
        <v>29.4608</v>
      </c>
      <c r="H4" s="19">
        <f t="shared" si="2"/>
        <v>68.2808</v>
      </c>
      <c r="I4" s="19" t="s">
        <v>10</v>
      </c>
    </row>
    <row r="5" s="1" customFormat="1" ht="31" customHeight="1" spans="1:9">
      <c r="A5" s="16">
        <v>3</v>
      </c>
      <c r="B5" s="16" t="str">
        <f>"15001010229"</f>
        <v>15001010229</v>
      </c>
      <c r="C5" s="16" t="str">
        <f>"李伟强"</f>
        <v>李伟强</v>
      </c>
      <c r="D5" s="16">
        <f>VLOOKUP(B5,'[1]01-伊旗籍男岗'!$C$3:$E$127,3,FALSE)</f>
        <v>60.7</v>
      </c>
      <c r="E5" s="17">
        <f t="shared" si="0"/>
        <v>36.42</v>
      </c>
      <c r="F5" s="17">
        <v>72.08</v>
      </c>
      <c r="G5" s="17">
        <f t="shared" si="1"/>
        <v>28.832</v>
      </c>
      <c r="H5" s="17">
        <f t="shared" si="2"/>
        <v>65.252</v>
      </c>
      <c r="I5" s="17" t="s">
        <v>10</v>
      </c>
    </row>
    <row r="6" s="1" customFormat="1" ht="31" customHeight="1" spans="1:9">
      <c r="A6" s="18">
        <v>4</v>
      </c>
      <c r="B6" s="18" t="str">
        <f>"15001011018"</f>
        <v>15001011018</v>
      </c>
      <c r="C6" s="18" t="str">
        <f>"李瑞"</f>
        <v>李瑞</v>
      </c>
      <c r="D6" s="18">
        <f>VLOOKUP(B6,'[1]01-伊旗籍男岗'!$C$3:$E$127,3,FALSE)</f>
        <v>63.1</v>
      </c>
      <c r="E6" s="19">
        <f t="shared" si="0"/>
        <v>37.86</v>
      </c>
      <c r="F6" s="19">
        <v>67.63</v>
      </c>
      <c r="G6" s="19">
        <f t="shared" si="1"/>
        <v>27.052</v>
      </c>
      <c r="H6" s="19">
        <f t="shared" si="2"/>
        <v>64.912</v>
      </c>
      <c r="I6" s="19" t="s">
        <v>10</v>
      </c>
    </row>
    <row r="7" s="1" customFormat="1" ht="31" customHeight="1" spans="1:9">
      <c r="A7" s="16">
        <v>5</v>
      </c>
      <c r="B7" s="16" t="str">
        <f>"15001011104"</f>
        <v>15001011104</v>
      </c>
      <c r="C7" s="16" t="str">
        <f>"徐鸿祥"</f>
        <v>徐鸿祥</v>
      </c>
      <c r="D7" s="16">
        <f>VLOOKUP(B7,'[1]01-伊旗籍男岗'!$C$3:$E$127,3,FALSE)</f>
        <v>59.7</v>
      </c>
      <c r="E7" s="17">
        <f t="shared" si="0"/>
        <v>35.82</v>
      </c>
      <c r="F7" s="17">
        <v>70.78</v>
      </c>
      <c r="G7" s="17">
        <f t="shared" si="1"/>
        <v>28.312</v>
      </c>
      <c r="H7" s="17">
        <f t="shared" si="2"/>
        <v>64.132</v>
      </c>
      <c r="I7" s="17" t="s">
        <v>10</v>
      </c>
    </row>
    <row r="8" s="1" customFormat="1" ht="31" customHeight="1" spans="1:9">
      <c r="A8" s="18">
        <v>6</v>
      </c>
      <c r="B8" s="18" t="str">
        <f>"15001010204"</f>
        <v>15001010204</v>
      </c>
      <c r="C8" s="18" t="str">
        <f>"包云鹤"</f>
        <v>包云鹤</v>
      </c>
      <c r="D8" s="18">
        <f>VLOOKUP(B8,'[1]01-伊旗籍男岗'!$C$3:$E$127,3,FALSE)</f>
        <v>57.9</v>
      </c>
      <c r="E8" s="19">
        <f t="shared" si="0"/>
        <v>34.74</v>
      </c>
      <c r="F8" s="19">
        <v>73.278</v>
      </c>
      <c r="G8" s="19">
        <f t="shared" si="1"/>
        <v>29.3112</v>
      </c>
      <c r="H8" s="19">
        <f t="shared" si="2"/>
        <v>64.0512</v>
      </c>
      <c r="I8" s="19" t="s">
        <v>10</v>
      </c>
    </row>
    <row r="9" s="1" customFormat="1" ht="31" customHeight="1" spans="1:9">
      <c r="A9" s="16">
        <v>7</v>
      </c>
      <c r="B9" s="16" t="str">
        <f>"15001011301"</f>
        <v>15001011301</v>
      </c>
      <c r="C9" s="16" t="str">
        <f>"苗荣"</f>
        <v>苗荣</v>
      </c>
      <c r="D9" s="16">
        <f>VLOOKUP(B9,'[1]01-伊旗籍男岗'!$C$3:$E$127,3,FALSE)</f>
        <v>58.1</v>
      </c>
      <c r="E9" s="17">
        <f t="shared" si="0"/>
        <v>34.86</v>
      </c>
      <c r="F9" s="17">
        <v>71.9</v>
      </c>
      <c r="G9" s="17">
        <f t="shared" si="1"/>
        <v>28.76</v>
      </c>
      <c r="H9" s="17">
        <f t="shared" si="2"/>
        <v>63.62</v>
      </c>
      <c r="I9" s="17" t="s">
        <v>10</v>
      </c>
    </row>
    <row r="10" s="1" customFormat="1" ht="31" customHeight="1" spans="1:9">
      <c r="A10" s="18">
        <v>8</v>
      </c>
      <c r="B10" s="18" t="str">
        <f>"15001010323"</f>
        <v>15001010323</v>
      </c>
      <c r="C10" s="18" t="str">
        <f>"马帅"</f>
        <v>马帅</v>
      </c>
      <c r="D10" s="18">
        <f>VLOOKUP(B10,'[1]01-伊旗籍男岗'!$C$3:$E$127,3,FALSE)</f>
        <v>58.6</v>
      </c>
      <c r="E10" s="19">
        <f t="shared" si="0"/>
        <v>35.16</v>
      </c>
      <c r="F10" s="19">
        <v>69.4</v>
      </c>
      <c r="G10" s="19">
        <f t="shared" si="1"/>
        <v>27.76</v>
      </c>
      <c r="H10" s="19">
        <f t="shared" si="2"/>
        <v>62.92</v>
      </c>
      <c r="I10" s="19" t="s">
        <v>10</v>
      </c>
    </row>
    <row r="11" s="1" customFormat="1" ht="31" customHeight="1" spans="1:9">
      <c r="A11" s="16">
        <v>9</v>
      </c>
      <c r="B11" s="16" t="str">
        <f>"15001010402"</f>
        <v>15001010402</v>
      </c>
      <c r="C11" s="16" t="str">
        <f>"解敏龙"</f>
        <v>解敏龙</v>
      </c>
      <c r="D11" s="16">
        <f>VLOOKUP(B11,'[1]01-伊旗籍男岗'!$C$3:$E$127,3,FALSE)</f>
        <v>57.3</v>
      </c>
      <c r="E11" s="17">
        <f t="shared" si="0"/>
        <v>34.38</v>
      </c>
      <c r="F11" s="17">
        <v>71.182</v>
      </c>
      <c r="G11" s="17">
        <f t="shared" si="1"/>
        <v>28.4728</v>
      </c>
      <c r="H11" s="17">
        <f t="shared" si="2"/>
        <v>62.8528</v>
      </c>
      <c r="I11" s="17" t="s">
        <v>10</v>
      </c>
    </row>
    <row r="12" s="1" customFormat="1" ht="31" customHeight="1" spans="1:9">
      <c r="A12" s="18">
        <v>10</v>
      </c>
      <c r="B12" s="18" t="str">
        <f>"15001011026"</f>
        <v>15001011026</v>
      </c>
      <c r="C12" s="18" t="str">
        <f>"许斌"</f>
        <v>许斌</v>
      </c>
      <c r="D12" s="18">
        <f>VLOOKUP(B12,'[1]01-伊旗籍男岗'!$C$3:$E$127,3,FALSE)</f>
        <v>56.2</v>
      </c>
      <c r="E12" s="19">
        <f t="shared" si="0"/>
        <v>33.72</v>
      </c>
      <c r="F12" s="19">
        <v>72.01</v>
      </c>
      <c r="G12" s="19">
        <f t="shared" si="1"/>
        <v>28.804</v>
      </c>
      <c r="H12" s="19">
        <f t="shared" si="2"/>
        <v>62.524</v>
      </c>
      <c r="I12" s="19" t="s">
        <v>10</v>
      </c>
    </row>
    <row r="13" s="1" customFormat="1" ht="31" customHeight="1" spans="1:9">
      <c r="A13" s="16">
        <v>11</v>
      </c>
      <c r="B13" s="16" t="str">
        <f>"15001011003"</f>
        <v>15001011003</v>
      </c>
      <c r="C13" s="16" t="str">
        <f>"袁鑫"</f>
        <v>袁鑫</v>
      </c>
      <c r="D13" s="16">
        <f>VLOOKUP(B13,'[1]01-伊旗籍男岗'!$C$3:$E$127,3,FALSE)</f>
        <v>58.1</v>
      </c>
      <c r="E13" s="17">
        <f t="shared" si="0"/>
        <v>34.86</v>
      </c>
      <c r="F13" s="17">
        <v>68.98</v>
      </c>
      <c r="G13" s="17">
        <f t="shared" si="1"/>
        <v>27.592</v>
      </c>
      <c r="H13" s="17">
        <f t="shared" si="2"/>
        <v>62.452</v>
      </c>
      <c r="I13" s="17" t="s">
        <v>10</v>
      </c>
    </row>
    <row r="14" s="1" customFormat="1" ht="31" customHeight="1" spans="1:9">
      <c r="A14" s="18">
        <v>12</v>
      </c>
      <c r="B14" s="18" t="str">
        <f>"15001010104"</f>
        <v>15001010104</v>
      </c>
      <c r="C14" s="18" t="str">
        <f>"郝瑞东"</f>
        <v>郝瑞东</v>
      </c>
      <c r="D14" s="18">
        <f>VLOOKUP(B14,'[1]01-伊旗籍男岗'!$C$3:$E$127,3,FALSE)</f>
        <v>59.7</v>
      </c>
      <c r="E14" s="19">
        <f t="shared" si="0"/>
        <v>35.82</v>
      </c>
      <c r="F14" s="19">
        <v>66.15</v>
      </c>
      <c r="G14" s="19">
        <f t="shared" si="1"/>
        <v>26.46</v>
      </c>
      <c r="H14" s="19">
        <f t="shared" si="2"/>
        <v>62.28</v>
      </c>
      <c r="I14" s="19" t="s">
        <v>10</v>
      </c>
    </row>
    <row r="15" s="1" customFormat="1" ht="31" customHeight="1" spans="1:9">
      <c r="A15" s="16">
        <v>13</v>
      </c>
      <c r="B15" s="16" t="str">
        <f>"15001010925"</f>
        <v>15001010925</v>
      </c>
      <c r="C15" s="16" t="str">
        <f>"尚楚易"</f>
        <v>尚楚易</v>
      </c>
      <c r="D15" s="16">
        <f>VLOOKUP(B15,'[1]01-伊旗籍男岗'!$C$3:$E$127,3,FALSE)</f>
        <v>58.2</v>
      </c>
      <c r="E15" s="17">
        <f t="shared" si="0"/>
        <v>34.92</v>
      </c>
      <c r="F15" s="17">
        <v>67.57</v>
      </c>
      <c r="G15" s="17">
        <f t="shared" si="1"/>
        <v>27.028</v>
      </c>
      <c r="H15" s="17">
        <f t="shared" si="2"/>
        <v>61.948</v>
      </c>
      <c r="I15" s="17" t="s">
        <v>10</v>
      </c>
    </row>
    <row r="16" s="1" customFormat="1" ht="31" customHeight="1" spans="1:9">
      <c r="A16" s="18">
        <v>14</v>
      </c>
      <c r="B16" s="18" t="str">
        <f>"15001010301"</f>
        <v>15001010301</v>
      </c>
      <c r="C16" s="18" t="str">
        <f>"温建亭"</f>
        <v>温建亭</v>
      </c>
      <c r="D16" s="18">
        <f>VLOOKUP(B16,'[1]01-伊旗籍男岗'!$C$3:$E$127,3,FALSE)</f>
        <v>59.3</v>
      </c>
      <c r="E16" s="19">
        <f t="shared" si="0"/>
        <v>35.58</v>
      </c>
      <c r="F16" s="19">
        <v>65.75</v>
      </c>
      <c r="G16" s="19">
        <f t="shared" si="1"/>
        <v>26.3</v>
      </c>
      <c r="H16" s="19">
        <f t="shared" si="2"/>
        <v>61.88</v>
      </c>
      <c r="I16" s="19" t="s">
        <v>10</v>
      </c>
    </row>
    <row r="17" s="1" customFormat="1" ht="31" customHeight="1" spans="1:9">
      <c r="A17" s="16">
        <v>15</v>
      </c>
      <c r="B17" s="16" t="str">
        <f>"15001010703"</f>
        <v>15001010703</v>
      </c>
      <c r="C17" s="16" t="str">
        <f>"韩磊"</f>
        <v>韩磊</v>
      </c>
      <c r="D17" s="16">
        <f>VLOOKUP(B17,'[1]01-伊旗籍男岗'!$C$3:$E$127,3,FALSE)</f>
        <v>56.4</v>
      </c>
      <c r="E17" s="17">
        <f t="shared" si="0"/>
        <v>33.84</v>
      </c>
      <c r="F17" s="17">
        <v>69.65</v>
      </c>
      <c r="G17" s="17">
        <f t="shared" si="1"/>
        <v>27.86</v>
      </c>
      <c r="H17" s="17">
        <f t="shared" si="2"/>
        <v>61.7</v>
      </c>
      <c r="I17" s="17" t="s">
        <v>10</v>
      </c>
    </row>
    <row r="18" s="1" customFormat="1" ht="31" customHeight="1" spans="1:9">
      <c r="A18" s="18">
        <v>16</v>
      </c>
      <c r="B18" s="18" t="str">
        <f>"15001010302"</f>
        <v>15001010302</v>
      </c>
      <c r="C18" s="18" t="str">
        <f>"乔宇"</f>
        <v>乔宇</v>
      </c>
      <c r="D18" s="18">
        <f>VLOOKUP(B18,'[1]01-伊旗籍男岗'!$C$3:$E$127,3,FALSE)</f>
        <v>54.9</v>
      </c>
      <c r="E18" s="19">
        <f t="shared" si="0"/>
        <v>32.94</v>
      </c>
      <c r="F18" s="19">
        <v>71.49</v>
      </c>
      <c r="G18" s="19">
        <f t="shared" si="1"/>
        <v>28.596</v>
      </c>
      <c r="H18" s="19">
        <f t="shared" si="2"/>
        <v>61.536</v>
      </c>
      <c r="I18" s="19" t="s">
        <v>10</v>
      </c>
    </row>
    <row r="19" s="1" customFormat="1" ht="31" customHeight="1" spans="1:9">
      <c r="A19" s="16">
        <v>17</v>
      </c>
      <c r="B19" s="16" t="str">
        <f>"15001010608"</f>
        <v>15001010608</v>
      </c>
      <c r="C19" s="16" t="str">
        <f>"刘波"</f>
        <v>刘波</v>
      </c>
      <c r="D19" s="16">
        <f>VLOOKUP(B19,'[1]01-伊旗籍男岗'!$C$3:$E$127,3,FALSE)</f>
        <v>56</v>
      </c>
      <c r="E19" s="17">
        <f t="shared" si="0"/>
        <v>33.6</v>
      </c>
      <c r="F19" s="17">
        <v>69.66</v>
      </c>
      <c r="G19" s="17">
        <f t="shared" si="1"/>
        <v>27.864</v>
      </c>
      <c r="H19" s="17">
        <f t="shared" si="2"/>
        <v>61.464</v>
      </c>
      <c r="I19" s="17" t="s">
        <v>10</v>
      </c>
    </row>
    <row r="20" s="1" customFormat="1" ht="31" customHeight="1" spans="1:9">
      <c r="A20" s="18">
        <v>18</v>
      </c>
      <c r="B20" s="18" t="str">
        <f>"15001011122"</f>
        <v>15001011122</v>
      </c>
      <c r="C20" s="18" t="str">
        <f>"高伟"</f>
        <v>高伟</v>
      </c>
      <c r="D20" s="18">
        <f>VLOOKUP(B20,'[1]01-伊旗籍男岗'!$C$3:$E$127,3,FALSE)</f>
        <v>56</v>
      </c>
      <c r="E20" s="19">
        <f t="shared" si="0"/>
        <v>33.6</v>
      </c>
      <c r="F20" s="19">
        <v>69.66</v>
      </c>
      <c r="G20" s="19">
        <f t="shared" si="1"/>
        <v>27.864</v>
      </c>
      <c r="H20" s="19">
        <f t="shared" si="2"/>
        <v>61.464</v>
      </c>
      <c r="I20" s="19" t="s">
        <v>10</v>
      </c>
    </row>
    <row r="21" s="1" customFormat="1" ht="31" customHeight="1" spans="1:9">
      <c r="A21" s="16">
        <v>19</v>
      </c>
      <c r="B21" s="16" t="str">
        <f>"15001010307"</f>
        <v>15001010307</v>
      </c>
      <c r="C21" s="16" t="str">
        <f>"奇雷"</f>
        <v>奇雷</v>
      </c>
      <c r="D21" s="16">
        <f>VLOOKUP(B21,'[1]01-伊旗籍男岗'!$C$3:$E$127,3,FALSE)</f>
        <v>56.8</v>
      </c>
      <c r="E21" s="17">
        <f t="shared" si="0"/>
        <v>34.08</v>
      </c>
      <c r="F21" s="17">
        <v>68.12</v>
      </c>
      <c r="G21" s="17">
        <f t="shared" si="1"/>
        <v>27.248</v>
      </c>
      <c r="H21" s="17">
        <f t="shared" si="2"/>
        <v>61.328</v>
      </c>
      <c r="I21" s="17" t="s">
        <v>10</v>
      </c>
    </row>
    <row r="22" s="1" customFormat="1" ht="31" customHeight="1" spans="1:9">
      <c r="A22" s="18">
        <v>20</v>
      </c>
      <c r="B22" s="18" t="str">
        <f>"15001010811"</f>
        <v>15001010811</v>
      </c>
      <c r="C22" s="18" t="str">
        <f>"张福荣"</f>
        <v>张福荣</v>
      </c>
      <c r="D22" s="18">
        <f>VLOOKUP(B22,'[1]01-伊旗籍男岗'!$C$3:$E$127,3,FALSE)</f>
        <v>55.7</v>
      </c>
      <c r="E22" s="19">
        <f t="shared" si="0"/>
        <v>33.42</v>
      </c>
      <c r="F22" s="19">
        <v>69.67</v>
      </c>
      <c r="G22" s="19">
        <f t="shared" si="1"/>
        <v>27.868</v>
      </c>
      <c r="H22" s="19">
        <f t="shared" si="2"/>
        <v>61.288</v>
      </c>
      <c r="I22" s="19" t="s">
        <v>10</v>
      </c>
    </row>
    <row r="23" s="1" customFormat="1" ht="31" customHeight="1" spans="1:9">
      <c r="A23" s="16">
        <v>21</v>
      </c>
      <c r="B23" s="16" t="str">
        <f>"15001011014"</f>
        <v>15001011014</v>
      </c>
      <c r="C23" s="16" t="str">
        <f>"白旭"</f>
        <v>白旭</v>
      </c>
      <c r="D23" s="16">
        <f>VLOOKUP(B23,'[1]01-伊旗籍男岗'!$C$3:$E$127,3,FALSE)</f>
        <v>56.5</v>
      </c>
      <c r="E23" s="17">
        <f t="shared" si="0"/>
        <v>33.9</v>
      </c>
      <c r="F23" s="17">
        <v>68.062</v>
      </c>
      <c r="G23" s="17">
        <f t="shared" si="1"/>
        <v>27.2248</v>
      </c>
      <c r="H23" s="17">
        <f t="shared" si="2"/>
        <v>61.1248</v>
      </c>
      <c r="I23" s="17" t="s">
        <v>10</v>
      </c>
    </row>
    <row r="24" s="1" customFormat="1" ht="31" customHeight="1" spans="1:9">
      <c r="A24" s="18">
        <v>22</v>
      </c>
      <c r="B24" s="18" t="str">
        <f>"15001010208"</f>
        <v>15001010208</v>
      </c>
      <c r="C24" s="18" t="str">
        <f>"刘德隆"</f>
        <v>刘德隆</v>
      </c>
      <c r="D24" s="18">
        <f>VLOOKUP(B24,'[1]01-伊旗籍男岗'!$C$3:$E$127,3,FALSE)</f>
        <v>54.9</v>
      </c>
      <c r="E24" s="19">
        <f t="shared" si="0"/>
        <v>32.94</v>
      </c>
      <c r="F24" s="19">
        <v>70.142</v>
      </c>
      <c r="G24" s="19">
        <f t="shared" si="1"/>
        <v>28.0568</v>
      </c>
      <c r="H24" s="19">
        <f t="shared" si="2"/>
        <v>60.9968</v>
      </c>
      <c r="I24" s="19" t="s">
        <v>10</v>
      </c>
    </row>
    <row r="25" s="1" customFormat="1" ht="31" customHeight="1" spans="1:9">
      <c r="A25" s="16">
        <v>23</v>
      </c>
      <c r="B25" s="16" t="str">
        <f>"15001010724"</f>
        <v>15001010724</v>
      </c>
      <c r="C25" s="16" t="str">
        <f>"郭自东"</f>
        <v>郭自东</v>
      </c>
      <c r="D25" s="16">
        <f>VLOOKUP(B25,'[1]01-伊旗籍男岗'!$C$3:$E$127,3,FALSE)</f>
        <v>56.9</v>
      </c>
      <c r="E25" s="17">
        <f t="shared" si="0"/>
        <v>34.14</v>
      </c>
      <c r="F25" s="17">
        <v>67.026</v>
      </c>
      <c r="G25" s="17">
        <f t="shared" si="1"/>
        <v>26.8104</v>
      </c>
      <c r="H25" s="17">
        <f t="shared" si="2"/>
        <v>60.9504</v>
      </c>
      <c r="I25" s="17" t="s">
        <v>10</v>
      </c>
    </row>
    <row r="26" s="1" customFormat="1" ht="31" customHeight="1" spans="1:9">
      <c r="A26" s="18">
        <v>24</v>
      </c>
      <c r="B26" s="18" t="str">
        <f>"15001010716"</f>
        <v>15001010716</v>
      </c>
      <c r="C26" s="18" t="str">
        <f>"王珂荣"</f>
        <v>王珂荣</v>
      </c>
      <c r="D26" s="18">
        <f>VLOOKUP(B26,'[1]01-伊旗籍男岗'!$C$3:$E$127,3,FALSE)</f>
        <v>52.9</v>
      </c>
      <c r="E26" s="19">
        <f t="shared" si="0"/>
        <v>31.74</v>
      </c>
      <c r="F26" s="19">
        <v>72.942</v>
      </c>
      <c r="G26" s="19">
        <f t="shared" si="1"/>
        <v>29.1768</v>
      </c>
      <c r="H26" s="19">
        <f t="shared" si="2"/>
        <v>60.9168</v>
      </c>
      <c r="I26" s="19" t="s">
        <v>10</v>
      </c>
    </row>
    <row r="27" s="1" customFormat="1" ht="31" customHeight="1" spans="1:9">
      <c r="A27" s="16">
        <v>25</v>
      </c>
      <c r="B27" s="16" t="str">
        <f>"15001011211"</f>
        <v>15001011211</v>
      </c>
      <c r="C27" s="16" t="str">
        <f>"张博宇"</f>
        <v>张博宇</v>
      </c>
      <c r="D27" s="16">
        <f>VLOOKUP(B27,'[1]01-伊旗籍男岗'!$C$3:$E$127,3,FALSE)</f>
        <v>54.7</v>
      </c>
      <c r="E27" s="17">
        <f t="shared" si="0"/>
        <v>32.82</v>
      </c>
      <c r="F27" s="17">
        <v>70.16</v>
      </c>
      <c r="G27" s="17">
        <f t="shared" si="1"/>
        <v>28.064</v>
      </c>
      <c r="H27" s="17">
        <f t="shared" si="2"/>
        <v>60.884</v>
      </c>
      <c r="I27" s="17" t="s">
        <v>10</v>
      </c>
    </row>
    <row r="28" s="1" customFormat="1" ht="31" customHeight="1" spans="1:9">
      <c r="A28" s="18">
        <v>26</v>
      </c>
      <c r="B28" s="18" t="str">
        <f>"15001010426"</f>
        <v>15001010426</v>
      </c>
      <c r="C28" s="18" t="str">
        <f>"胡海强"</f>
        <v>胡海强</v>
      </c>
      <c r="D28" s="18">
        <f>VLOOKUP(B28,'[1]01-伊旗籍男岗'!$C$3:$E$127,3,FALSE)</f>
        <v>57.9</v>
      </c>
      <c r="E28" s="19">
        <f t="shared" si="0"/>
        <v>34.74</v>
      </c>
      <c r="F28" s="19">
        <v>65.19</v>
      </c>
      <c r="G28" s="19">
        <f t="shared" si="1"/>
        <v>26.076</v>
      </c>
      <c r="H28" s="19">
        <f t="shared" si="2"/>
        <v>60.816</v>
      </c>
      <c r="I28" s="19" t="s">
        <v>10</v>
      </c>
    </row>
    <row r="29" s="1" customFormat="1" ht="31" customHeight="1" spans="1:9">
      <c r="A29" s="16">
        <v>27</v>
      </c>
      <c r="B29" s="16" t="str">
        <f>"15001010501"</f>
        <v>15001010501</v>
      </c>
      <c r="C29" s="16" t="str">
        <f>"倪童"</f>
        <v>倪童</v>
      </c>
      <c r="D29" s="16">
        <f>VLOOKUP(B29,'[1]01-伊旗籍男岗'!$C$3:$E$127,3,FALSE)</f>
        <v>55</v>
      </c>
      <c r="E29" s="17">
        <f t="shared" si="0"/>
        <v>33</v>
      </c>
      <c r="F29" s="17">
        <v>68.33</v>
      </c>
      <c r="G29" s="17">
        <f t="shared" si="1"/>
        <v>27.332</v>
      </c>
      <c r="H29" s="17">
        <f t="shared" si="2"/>
        <v>60.332</v>
      </c>
      <c r="I29" s="17" t="s">
        <v>10</v>
      </c>
    </row>
    <row r="30" s="1" customFormat="1" ht="31" customHeight="1" spans="1:9">
      <c r="A30" s="18">
        <v>28</v>
      </c>
      <c r="B30" s="18" t="str">
        <f>"15001011229"</f>
        <v>15001011229</v>
      </c>
      <c r="C30" s="18" t="str">
        <f>"傲日其劳"</f>
        <v>傲日其劳</v>
      </c>
      <c r="D30" s="18">
        <f>VLOOKUP(B30,'[1]01-伊旗籍男岗'!$C$3:$E$127,3,FALSE)</f>
        <v>52.4</v>
      </c>
      <c r="E30" s="19">
        <f t="shared" si="0"/>
        <v>31.44</v>
      </c>
      <c r="F30" s="19">
        <v>72.09</v>
      </c>
      <c r="G30" s="19">
        <f t="shared" si="1"/>
        <v>28.836</v>
      </c>
      <c r="H30" s="19">
        <f t="shared" si="2"/>
        <v>60.276</v>
      </c>
      <c r="I30" s="19" t="s">
        <v>10</v>
      </c>
    </row>
    <row r="31" s="1" customFormat="1" ht="31" customHeight="1" spans="1:9">
      <c r="A31" s="16">
        <v>29</v>
      </c>
      <c r="B31" s="16" t="str">
        <f>"15001010224"</f>
        <v>15001010224</v>
      </c>
      <c r="C31" s="16" t="str">
        <f>"宋伟"</f>
        <v>宋伟</v>
      </c>
      <c r="D31" s="16">
        <f>VLOOKUP(B31,'[1]01-伊旗籍男岗'!$C$3:$E$127,3,FALSE)</f>
        <v>54.9</v>
      </c>
      <c r="E31" s="17">
        <f t="shared" si="0"/>
        <v>32.94</v>
      </c>
      <c r="F31" s="17">
        <v>67.9</v>
      </c>
      <c r="G31" s="17">
        <f t="shared" si="1"/>
        <v>27.16</v>
      </c>
      <c r="H31" s="17">
        <f t="shared" si="2"/>
        <v>60.1</v>
      </c>
      <c r="I31" s="17" t="s">
        <v>10</v>
      </c>
    </row>
    <row r="32" s="1" customFormat="1" ht="31" customHeight="1" spans="1:9">
      <c r="A32" s="18">
        <v>30</v>
      </c>
      <c r="B32" s="18" t="str">
        <f>"15001011319"</f>
        <v>15001011319</v>
      </c>
      <c r="C32" s="18" t="str">
        <f>"张轩"</f>
        <v>张轩</v>
      </c>
      <c r="D32" s="18">
        <f>VLOOKUP(B32,'[1]01-伊旗籍男岗'!$C$3:$E$127,3,FALSE)</f>
        <v>52</v>
      </c>
      <c r="E32" s="19">
        <f t="shared" si="0"/>
        <v>31.2</v>
      </c>
      <c r="F32" s="19">
        <v>71.24</v>
      </c>
      <c r="G32" s="19">
        <f t="shared" si="1"/>
        <v>28.496</v>
      </c>
      <c r="H32" s="19">
        <f t="shared" si="2"/>
        <v>59.696</v>
      </c>
      <c r="I32" s="19" t="s">
        <v>10</v>
      </c>
    </row>
    <row r="33" s="1" customFormat="1" ht="31" customHeight="1" spans="1:9">
      <c r="A33" s="16">
        <v>31</v>
      </c>
      <c r="B33" s="16" t="str">
        <f>"15001011127"</f>
        <v>15001011127</v>
      </c>
      <c r="C33" s="16" t="str">
        <f>"李洋"</f>
        <v>李洋</v>
      </c>
      <c r="D33" s="16">
        <f>VLOOKUP(B33,'[1]01-伊旗籍男岗'!$C$3:$E$127,3,FALSE)</f>
        <v>56.2</v>
      </c>
      <c r="E33" s="17">
        <f t="shared" si="0"/>
        <v>33.72</v>
      </c>
      <c r="F33" s="17">
        <v>64.2</v>
      </c>
      <c r="G33" s="17">
        <f t="shared" si="1"/>
        <v>25.68</v>
      </c>
      <c r="H33" s="17">
        <f t="shared" si="2"/>
        <v>59.4</v>
      </c>
      <c r="I33" s="17" t="s">
        <v>10</v>
      </c>
    </row>
    <row r="34" s="1" customFormat="1" ht="31" customHeight="1" spans="1:9">
      <c r="A34" s="18">
        <v>32</v>
      </c>
      <c r="B34" s="18" t="str">
        <f>"15001010305"</f>
        <v>15001010305</v>
      </c>
      <c r="C34" s="18" t="str">
        <f>"周家坤"</f>
        <v>周家坤</v>
      </c>
      <c r="D34" s="18">
        <f>VLOOKUP(B34,'[1]01-伊旗籍男岗'!$C$3:$E$127,3,FALSE)</f>
        <v>52.9</v>
      </c>
      <c r="E34" s="19">
        <f t="shared" si="0"/>
        <v>31.74</v>
      </c>
      <c r="F34" s="19">
        <v>68.112</v>
      </c>
      <c r="G34" s="19">
        <f t="shared" si="1"/>
        <v>27.2448</v>
      </c>
      <c r="H34" s="19">
        <f t="shared" si="2"/>
        <v>58.9848</v>
      </c>
      <c r="I34" s="19" t="s">
        <v>10</v>
      </c>
    </row>
    <row r="35" s="1" customFormat="1" ht="31" customHeight="1" spans="1:9">
      <c r="A35" s="16">
        <v>33</v>
      </c>
      <c r="B35" s="16" t="str">
        <f>"15001010325"</f>
        <v>15001010325</v>
      </c>
      <c r="C35" s="16" t="str">
        <f>"高家伟"</f>
        <v>高家伟</v>
      </c>
      <c r="D35" s="16">
        <f>VLOOKUP(B35,'[1]01-伊旗籍男岗'!$C$3:$E$127,3,FALSE)</f>
        <v>50.1</v>
      </c>
      <c r="E35" s="17">
        <f t="shared" si="0"/>
        <v>30.06</v>
      </c>
      <c r="F35" s="17">
        <v>71.72</v>
      </c>
      <c r="G35" s="17">
        <f t="shared" si="1"/>
        <v>28.688</v>
      </c>
      <c r="H35" s="17">
        <f t="shared" si="2"/>
        <v>58.748</v>
      </c>
      <c r="I35" s="17" t="s">
        <v>10</v>
      </c>
    </row>
    <row r="36" s="1" customFormat="1" ht="31" customHeight="1" spans="1:9">
      <c r="A36" s="18">
        <v>34</v>
      </c>
      <c r="B36" s="18" t="str">
        <f>"15001010122"</f>
        <v>15001010122</v>
      </c>
      <c r="C36" s="18" t="str">
        <f>"王杰"</f>
        <v>王杰</v>
      </c>
      <c r="D36" s="18">
        <f>VLOOKUP(B36,'[1]01-伊旗籍男岗'!$C$3:$E$127,3,FALSE)</f>
        <v>50.4</v>
      </c>
      <c r="E36" s="19">
        <f t="shared" si="0"/>
        <v>30.24</v>
      </c>
      <c r="F36" s="19">
        <v>70.96</v>
      </c>
      <c r="G36" s="19">
        <f t="shared" si="1"/>
        <v>28.384</v>
      </c>
      <c r="H36" s="19">
        <f t="shared" si="2"/>
        <v>58.624</v>
      </c>
      <c r="I36" s="19" t="s">
        <v>10</v>
      </c>
    </row>
    <row r="37" s="1" customFormat="1" ht="31" customHeight="1" spans="1:9">
      <c r="A37" s="16">
        <v>35</v>
      </c>
      <c r="B37" s="16" t="str">
        <f>"15001010709"</f>
        <v>15001010709</v>
      </c>
      <c r="C37" s="16" t="str">
        <f>"曹旭"</f>
        <v>曹旭</v>
      </c>
      <c r="D37" s="16">
        <f>VLOOKUP(B37,'[1]01-伊旗籍男岗'!$C$3:$E$127,3,FALSE)</f>
        <v>53</v>
      </c>
      <c r="E37" s="17">
        <f t="shared" si="0"/>
        <v>31.8</v>
      </c>
      <c r="F37" s="17">
        <v>66.932</v>
      </c>
      <c r="G37" s="17">
        <f t="shared" si="1"/>
        <v>26.7728</v>
      </c>
      <c r="H37" s="17">
        <f t="shared" si="2"/>
        <v>58.5728</v>
      </c>
      <c r="I37" s="17" t="s">
        <v>10</v>
      </c>
    </row>
    <row r="38" s="1" customFormat="1" ht="31" customHeight="1" spans="1:9">
      <c r="A38" s="18">
        <v>36</v>
      </c>
      <c r="B38" s="18" t="str">
        <f>"15001011304"</f>
        <v>15001011304</v>
      </c>
      <c r="C38" s="18" t="str">
        <f>"温利刚"</f>
        <v>温利刚</v>
      </c>
      <c r="D38" s="18">
        <f>VLOOKUP(B38,'[1]01-伊旗籍男岗'!$C$3:$E$127,3,FALSE)</f>
        <v>49.4</v>
      </c>
      <c r="E38" s="19">
        <f t="shared" si="0"/>
        <v>29.64</v>
      </c>
      <c r="F38" s="19">
        <v>72.32</v>
      </c>
      <c r="G38" s="19">
        <f t="shared" si="1"/>
        <v>28.928</v>
      </c>
      <c r="H38" s="19">
        <f t="shared" si="2"/>
        <v>58.568</v>
      </c>
      <c r="I38" s="19" t="s">
        <v>10</v>
      </c>
    </row>
    <row r="39" s="1" customFormat="1" ht="31" customHeight="1" spans="1:9">
      <c r="A39" s="16">
        <v>37</v>
      </c>
      <c r="B39" s="16" t="str">
        <f>"15001010718"</f>
        <v>15001010718</v>
      </c>
      <c r="C39" s="16" t="str">
        <f>"樊利强"</f>
        <v>樊利强</v>
      </c>
      <c r="D39" s="16">
        <f>VLOOKUP(B39,'[1]01-伊旗籍男岗'!$C$3:$E$127,3,FALSE)</f>
        <v>51.3</v>
      </c>
      <c r="E39" s="17">
        <f t="shared" si="0"/>
        <v>30.78</v>
      </c>
      <c r="F39" s="17">
        <v>69.28</v>
      </c>
      <c r="G39" s="17">
        <f t="shared" si="1"/>
        <v>27.712</v>
      </c>
      <c r="H39" s="17">
        <f t="shared" si="2"/>
        <v>58.492</v>
      </c>
      <c r="I39" s="17" t="s">
        <v>10</v>
      </c>
    </row>
    <row r="40" s="1" customFormat="1" ht="31" customHeight="1" spans="1:9">
      <c r="A40" s="18">
        <v>38</v>
      </c>
      <c r="B40" s="18" t="str">
        <f>"15001010817"</f>
        <v>15001010817</v>
      </c>
      <c r="C40" s="18" t="str">
        <f>"李泽宇"</f>
        <v>李泽宇</v>
      </c>
      <c r="D40" s="18">
        <f>VLOOKUP(B40,'[1]01-伊旗籍男岗'!$C$3:$E$127,3,FALSE)</f>
        <v>53.8</v>
      </c>
      <c r="E40" s="19">
        <f t="shared" si="0"/>
        <v>32.28</v>
      </c>
      <c r="F40" s="19">
        <v>65.42</v>
      </c>
      <c r="G40" s="19">
        <f t="shared" si="1"/>
        <v>26.168</v>
      </c>
      <c r="H40" s="19">
        <f t="shared" si="2"/>
        <v>58.448</v>
      </c>
      <c r="I40" s="19" t="s">
        <v>10</v>
      </c>
    </row>
    <row r="41" s="1" customFormat="1" ht="31" customHeight="1" spans="1:9">
      <c r="A41" s="16">
        <v>39</v>
      </c>
      <c r="B41" s="16" t="str">
        <f>"15001010303"</f>
        <v>15001010303</v>
      </c>
      <c r="C41" s="16" t="str">
        <f>"李鹏"</f>
        <v>李鹏</v>
      </c>
      <c r="D41" s="16">
        <f>VLOOKUP(B41,'[1]01-伊旗籍男岗'!$C$3:$E$127,3,FALSE)</f>
        <v>53.3</v>
      </c>
      <c r="E41" s="17">
        <f t="shared" si="0"/>
        <v>31.98</v>
      </c>
      <c r="F41" s="17">
        <v>65.76</v>
      </c>
      <c r="G41" s="17">
        <f t="shared" si="1"/>
        <v>26.304</v>
      </c>
      <c r="H41" s="17">
        <f t="shared" si="2"/>
        <v>58.284</v>
      </c>
      <c r="I41" s="17" t="s">
        <v>10</v>
      </c>
    </row>
    <row r="42" s="1" customFormat="1" ht="31" customHeight="1" spans="1:9">
      <c r="A42" s="18">
        <v>40</v>
      </c>
      <c r="B42" s="18" t="str">
        <f>"15001010515"</f>
        <v>15001010515</v>
      </c>
      <c r="C42" s="18" t="str">
        <f>"刘成伟"</f>
        <v>刘成伟</v>
      </c>
      <c r="D42" s="18">
        <f>VLOOKUP(B42,'[1]01-伊旗籍男岗'!$C$3:$E$127,3,FALSE)</f>
        <v>52</v>
      </c>
      <c r="E42" s="19">
        <f t="shared" si="0"/>
        <v>31.2</v>
      </c>
      <c r="F42" s="19">
        <v>67.648</v>
      </c>
      <c r="G42" s="19">
        <f t="shared" si="1"/>
        <v>27.0592</v>
      </c>
      <c r="H42" s="19">
        <f t="shared" si="2"/>
        <v>58.2592</v>
      </c>
      <c r="I42" s="19" t="s">
        <v>10</v>
      </c>
    </row>
    <row r="43" s="1" customFormat="1" ht="31" customHeight="1" spans="1:9">
      <c r="A43" s="16">
        <v>41</v>
      </c>
      <c r="B43" s="16" t="str">
        <f>"15001010313"</f>
        <v>15001010313</v>
      </c>
      <c r="C43" s="16" t="str">
        <f>"贾杰"</f>
        <v>贾杰</v>
      </c>
      <c r="D43" s="16">
        <f>VLOOKUP(B43,'[1]01-伊旗籍男岗'!$C$3:$E$127,3,FALSE)</f>
        <v>51</v>
      </c>
      <c r="E43" s="17">
        <f t="shared" si="0"/>
        <v>30.6</v>
      </c>
      <c r="F43" s="17">
        <v>69.048</v>
      </c>
      <c r="G43" s="17">
        <f t="shared" si="1"/>
        <v>27.6192</v>
      </c>
      <c r="H43" s="17">
        <f t="shared" si="2"/>
        <v>58.2192</v>
      </c>
      <c r="I43" s="17" t="s">
        <v>10</v>
      </c>
    </row>
    <row r="44" s="1" customFormat="1" ht="31" customHeight="1" spans="1:9">
      <c r="A44" s="18">
        <v>42</v>
      </c>
      <c r="B44" s="18" t="str">
        <f>"15001010809"</f>
        <v>15001010809</v>
      </c>
      <c r="C44" s="18" t="str">
        <f>"巴嘎那"</f>
        <v>巴嘎那</v>
      </c>
      <c r="D44" s="18">
        <f>VLOOKUP(B44,'[1]01-伊旗籍男岗'!$C$3:$E$127,3,FALSE)</f>
        <v>50.3</v>
      </c>
      <c r="E44" s="19">
        <f t="shared" si="0"/>
        <v>30.18</v>
      </c>
      <c r="F44" s="19">
        <v>69.47</v>
      </c>
      <c r="G44" s="19">
        <f t="shared" si="1"/>
        <v>27.788</v>
      </c>
      <c r="H44" s="19">
        <f t="shared" si="2"/>
        <v>57.968</v>
      </c>
      <c r="I44" s="19" t="s">
        <v>10</v>
      </c>
    </row>
    <row r="45" s="1" customFormat="1" ht="31" customHeight="1" spans="1:9">
      <c r="A45" s="16">
        <v>43</v>
      </c>
      <c r="B45" s="16" t="str">
        <f>"15001010730"</f>
        <v>15001010730</v>
      </c>
      <c r="C45" s="16" t="str">
        <f>"陈乐"</f>
        <v>陈乐</v>
      </c>
      <c r="D45" s="16">
        <f>VLOOKUP(B45,'[1]01-伊旗籍男岗'!$C$3:$E$127,3,FALSE)</f>
        <v>51.7</v>
      </c>
      <c r="E45" s="17">
        <f t="shared" si="0"/>
        <v>31.02</v>
      </c>
      <c r="F45" s="17">
        <v>66.9</v>
      </c>
      <c r="G45" s="17">
        <f t="shared" si="1"/>
        <v>26.76</v>
      </c>
      <c r="H45" s="17">
        <f t="shared" si="2"/>
        <v>57.78</v>
      </c>
      <c r="I45" s="17" t="s">
        <v>10</v>
      </c>
    </row>
    <row r="46" s="1" customFormat="1" ht="31" customHeight="1" spans="1:9">
      <c r="A46" s="18">
        <v>44</v>
      </c>
      <c r="B46" s="18" t="str">
        <f>"15001010822"</f>
        <v>15001010822</v>
      </c>
      <c r="C46" s="18" t="str">
        <f>"贾臻岳"</f>
        <v>贾臻岳</v>
      </c>
      <c r="D46" s="18">
        <f>VLOOKUP(B46,'[1]01-伊旗籍男岗'!$C$3:$E$127,3,FALSE)</f>
        <v>47.4</v>
      </c>
      <c r="E46" s="19">
        <f t="shared" si="0"/>
        <v>28.44</v>
      </c>
      <c r="F46" s="19">
        <v>72.98</v>
      </c>
      <c r="G46" s="19">
        <f t="shared" si="1"/>
        <v>29.192</v>
      </c>
      <c r="H46" s="19">
        <f t="shared" si="2"/>
        <v>57.632</v>
      </c>
      <c r="I46" s="19" t="s">
        <v>10</v>
      </c>
    </row>
    <row r="47" s="1" customFormat="1" ht="31" customHeight="1" spans="1:9">
      <c r="A47" s="16">
        <v>45</v>
      </c>
      <c r="B47" s="16" t="str">
        <f>"15001010807"</f>
        <v>15001010807</v>
      </c>
      <c r="C47" s="16" t="str">
        <f>"郝亮"</f>
        <v>郝亮</v>
      </c>
      <c r="D47" s="16">
        <f>VLOOKUP(B47,'[1]01-伊旗籍男岗'!$C$3:$E$127,3,FALSE)</f>
        <v>49.7</v>
      </c>
      <c r="E47" s="17">
        <f t="shared" si="0"/>
        <v>29.82</v>
      </c>
      <c r="F47" s="17">
        <v>69.402</v>
      </c>
      <c r="G47" s="17">
        <f t="shared" si="1"/>
        <v>27.7608</v>
      </c>
      <c r="H47" s="17">
        <f t="shared" si="2"/>
        <v>57.5808</v>
      </c>
      <c r="I47" s="17" t="s">
        <v>10</v>
      </c>
    </row>
    <row r="48" s="1" customFormat="1" ht="31" customHeight="1" spans="1:9">
      <c r="A48" s="18">
        <v>46</v>
      </c>
      <c r="B48" s="18" t="str">
        <f>"15001010624"</f>
        <v>15001010624</v>
      </c>
      <c r="C48" s="18" t="str">
        <f>"刘浩"</f>
        <v>刘浩</v>
      </c>
      <c r="D48" s="18">
        <f>VLOOKUP(B48,'[1]01-伊旗籍男岗'!$C$3:$E$127,3,FALSE)</f>
        <v>51.1</v>
      </c>
      <c r="E48" s="19">
        <f t="shared" si="0"/>
        <v>30.66</v>
      </c>
      <c r="F48" s="19">
        <v>67.3</v>
      </c>
      <c r="G48" s="19">
        <f t="shared" si="1"/>
        <v>26.92</v>
      </c>
      <c r="H48" s="19">
        <f t="shared" si="2"/>
        <v>57.58</v>
      </c>
      <c r="I48" s="19" t="s">
        <v>10</v>
      </c>
    </row>
    <row r="49" s="1" customFormat="1" ht="31" customHeight="1" spans="1:9">
      <c r="A49" s="16">
        <v>47</v>
      </c>
      <c r="B49" s="16" t="str">
        <f>"15001010920"</f>
        <v>15001010920</v>
      </c>
      <c r="C49" s="16" t="str">
        <f>"毕利格图"</f>
        <v>毕利格图</v>
      </c>
      <c r="D49" s="16">
        <f>VLOOKUP(B49,'[1]01-伊旗籍男岗'!$C$3:$E$127,3,FALSE)</f>
        <v>52.8</v>
      </c>
      <c r="E49" s="17">
        <f t="shared" si="0"/>
        <v>31.68</v>
      </c>
      <c r="F49" s="17">
        <v>64.562</v>
      </c>
      <c r="G49" s="17">
        <f t="shared" si="1"/>
        <v>25.8248</v>
      </c>
      <c r="H49" s="17">
        <f t="shared" si="2"/>
        <v>57.5048</v>
      </c>
      <c r="I49" s="17" t="s">
        <v>10</v>
      </c>
    </row>
    <row r="50" s="1" customFormat="1" ht="31" customHeight="1" spans="1:9">
      <c r="A50" s="18">
        <v>48</v>
      </c>
      <c r="B50" s="18" t="str">
        <f>"15001010803"</f>
        <v>15001010803</v>
      </c>
      <c r="C50" s="18" t="str">
        <f>"王昊"</f>
        <v>王昊</v>
      </c>
      <c r="D50" s="18">
        <f>VLOOKUP(B50,'[1]01-伊旗籍男岗'!$C$3:$E$127,3,FALSE)</f>
        <v>49.3</v>
      </c>
      <c r="E50" s="19">
        <f t="shared" si="0"/>
        <v>29.58</v>
      </c>
      <c r="F50" s="19">
        <v>69.33</v>
      </c>
      <c r="G50" s="19">
        <f t="shared" si="1"/>
        <v>27.732</v>
      </c>
      <c r="H50" s="19">
        <f t="shared" si="2"/>
        <v>57.312</v>
      </c>
      <c r="I50" s="19" t="s">
        <v>10</v>
      </c>
    </row>
    <row r="51" s="1" customFormat="1" ht="31" customHeight="1" spans="1:9">
      <c r="A51" s="16">
        <v>49</v>
      </c>
      <c r="B51" s="16" t="str">
        <f>"15001010102"</f>
        <v>15001010102</v>
      </c>
      <c r="C51" s="16" t="str">
        <f>"李宇博"</f>
        <v>李宇博</v>
      </c>
      <c r="D51" s="16">
        <f>VLOOKUP(B51,'[1]01-伊旗籍男岗'!$C$3:$E$127,3,FALSE)</f>
        <v>48.2</v>
      </c>
      <c r="E51" s="17">
        <f t="shared" si="0"/>
        <v>28.92</v>
      </c>
      <c r="F51" s="17">
        <v>70.66</v>
      </c>
      <c r="G51" s="17">
        <f t="shared" si="1"/>
        <v>28.264</v>
      </c>
      <c r="H51" s="17">
        <f t="shared" si="2"/>
        <v>57.184</v>
      </c>
      <c r="I51" s="17" t="s">
        <v>10</v>
      </c>
    </row>
    <row r="52" s="1" customFormat="1" ht="31" customHeight="1" spans="1:9">
      <c r="A52" s="18">
        <v>50</v>
      </c>
      <c r="B52" s="18" t="str">
        <f>"15001010125"</f>
        <v>15001010125</v>
      </c>
      <c r="C52" s="18" t="str">
        <f>"张露"</f>
        <v>张露</v>
      </c>
      <c r="D52" s="18">
        <f>VLOOKUP(B52,'[1]01-伊旗籍男岗'!$C$3:$E$127,3,FALSE)</f>
        <v>48.5</v>
      </c>
      <c r="E52" s="19">
        <f t="shared" si="0"/>
        <v>29.1</v>
      </c>
      <c r="F52" s="19">
        <v>69.86</v>
      </c>
      <c r="G52" s="19">
        <f t="shared" si="1"/>
        <v>27.944</v>
      </c>
      <c r="H52" s="19">
        <f t="shared" si="2"/>
        <v>57.044</v>
      </c>
      <c r="I52" s="19" t="s">
        <v>10</v>
      </c>
    </row>
    <row r="53" s="1" customFormat="1" ht="31" customHeight="1" spans="1:9">
      <c r="A53" s="16">
        <v>51</v>
      </c>
      <c r="B53" s="16" t="str">
        <f>"15001010306"</f>
        <v>15001010306</v>
      </c>
      <c r="C53" s="16" t="str">
        <f>"武和"</f>
        <v>武和</v>
      </c>
      <c r="D53" s="16">
        <f>VLOOKUP(B53,'[1]01-伊旗籍男岗'!$C$3:$E$127,3,FALSE)</f>
        <v>49.2</v>
      </c>
      <c r="E53" s="17">
        <f t="shared" si="0"/>
        <v>29.52</v>
      </c>
      <c r="F53" s="17">
        <v>68.64</v>
      </c>
      <c r="G53" s="17">
        <f t="shared" si="1"/>
        <v>27.456</v>
      </c>
      <c r="H53" s="17">
        <f t="shared" si="2"/>
        <v>56.976</v>
      </c>
      <c r="I53" s="17" t="s">
        <v>10</v>
      </c>
    </row>
    <row r="54" s="1" customFormat="1" ht="31" customHeight="1" spans="1:9">
      <c r="A54" s="18">
        <v>52</v>
      </c>
      <c r="B54" s="18" t="str">
        <f>"15001011420"</f>
        <v>15001011420</v>
      </c>
      <c r="C54" s="18" t="str">
        <f>"马绍杰"</f>
        <v>马绍杰</v>
      </c>
      <c r="D54" s="18">
        <f>VLOOKUP(B54,'[1]01-伊旗籍男岗'!$C$3:$E$127,3,FALSE)</f>
        <v>48.9</v>
      </c>
      <c r="E54" s="19">
        <f t="shared" si="0"/>
        <v>29.34</v>
      </c>
      <c r="F54" s="19">
        <v>68.81</v>
      </c>
      <c r="G54" s="19">
        <f t="shared" si="1"/>
        <v>27.524</v>
      </c>
      <c r="H54" s="19">
        <f t="shared" si="2"/>
        <v>56.864</v>
      </c>
      <c r="I54" s="19" t="s">
        <v>10</v>
      </c>
    </row>
    <row r="55" s="1" customFormat="1" ht="31" customHeight="1" spans="1:9">
      <c r="A55" s="16">
        <v>53</v>
      </c>
      <c r="B55" s="16" t="str">
        <f>"15001011121"</f>
        <v>15001011121</v>
      </c>
      <c r="C55" s="16" t="str">
        <f>"宋海洋"</f>
        <v>宋海洋</v>
      </c>
      <c r="D55" s="16">
        <f>VLOOKUP(B55,'[1]01-伊旗籍男岗'!$C$3:$E$127,3,FALSE)</f>
        <v>52.5</v>
      </c>
      <c r="E55" s="17">
        <f t="shared" si="0"/>
        <v>31.5</v>
      </c>
      <c r="F55" s="17">
        <v>62.7</v>
      </c>
      <c r="G55" s="17">
        <f t="shared" si="1"/>
        <v>25.08</v>
      </c>
      <c r="H55" s="17">
        <f t="shared" si="2"/>
        <v>56.58</v>
      </c>
      <c r="I55" s="17" t="s">
        <v>10</v>
      </c>
    </row>
    <row r="56" s="1" customFormat="1" ht="31" customHeight="1" spans="1:9">
      <c r="A56" s="18">
        <v>54</v>
      </c>
      <c r="B56" s="18" t="str">
        <f>"15001011316"</f>
        <v>15001011316</v>
      </c>
      <c r="C56" s="18" t="str">
        <f>"杨坤超"</f>
        <v>杨坤超</v>
      </c>
      <c r="D56" s="18">
        <f>VLOOKUP(B56,'[1]01-伊旗籍男岗'!$C$3:$E$127,3,FALSE)</f>
        <v>48.1</v>
      </c>
      <c r="E56" s="19">
        <f t="shared" si="0"/>
        <v>28.86</v>
      </c>
      <c r="F56" s="19">
        <v>69.168</v>
      </c>
      <c r="G56" s="19">
        <f t="shared" si="1"/>
        <v>27.6672</v>
      </c>
      <c r="H56" s="19">
        <f t="shared" si="2"/>
        <v>56.5272</v>
      </c>
      <c r="I56" s="19" t="s">
        <v>10</v>
      </c>
    </row>
    <row r="57" s="1" customFormat="1" ht="31" customHeight="1" spans="1:9">
      <c r="A57" s="16">
        <v>55</v>
      </c>
      <c r="B57" s="16" t="str">
        <f>"15001010529"</f>
        <v>15001010529</v>
      </c>
      <c r="C57" s="16" t="str">
        <f>"杨普铭"</f>
        <v>杨普铭</v>
      </c>
      <c r="D57" s="16">
        <f>VLOOKUP(B57,'[1]01-伊旗籍男岗'!$C$3:$E$127,3,FALSE)</f>
        <v>48.1</v>
      </c>
      <c r="E57" s="17">
        <f t="shared" si="0"/>
        <v>28.86</v>
      </c>
      <c r="F57" s="17">
        <v>68.98</v>
      </c>
      <c r="G57" s="17">
        <f t="shared" si="1"/>
        <v>27.592</v>
      </c>
      <c r="H57" s="17">
        <f t="shared" si="2"/>
        <v>56.452</v>
      </c>
      <c r="I57" s="17" t="s">
        <v>10</v>
      </c>
    </row>
    <row r="58" s="1" customFormat="1" ht="31" customHeight="1" spans="1:9">
      <c r="A58" s="18">
        <v>56</v>
      </c>
      <c r="B58" s="18" t="str">
        <f>"15001011216"</f>
        <v>15001011216</v>
      </c>
      <c r="C58" s="18" t="str">
        <f>"贺政"</f>
        <v>贺政</v>
      </c>
      <c r="D58" s="18">
        <f>VLOOKUP(B58,'[1]01-伊旗籍男岗'!$C$3:$E$127,3,FALSE)</f>
        <v>49.3</v>
      </c>
      <c r="E58" s="19">
        <f t="shared" si="0"/>
        <v>29.58</v>
      </c>
      <c r="F58" s="19">
        <v>66.98</v>
      </c>
      <c r="G58" s="19">
        <f t="shared" si="1"/>
        <v>26.792</v>
      </c>
      <c r="H58" s="19">
        <f t="shared" si="2"/>
        <v>56.372</v>
      </c>
      <c r="I58" s="19" t="s">
        <v>10</v>
      </c>
    </row>
    <row r="59" s="1" customFormat="1" ht="31" customHeight="1" spans="1:9">
      <c r="A59" s="16">
        <v>57</v>
      </c>
      <c r="B59" s="16" t="str">
        <f>"15001010801"</f>
        <v>15001010801</v>
      </c>
      <c r="C59" s="16" t="str">
        <f>"王磊"</f>
        <v>王磊</v>
      </c>
      <c r="D59" s="16">
        <f>VLOOKUP(B59,'[1]01-伊旗籍男岗'!$C$3:$E$127,3,FALSE)</f>
        <v>47.7</v>
      </c>
      <c r="E59" s="17">
        <f t="shared" si="0"/>
        <v>28.62</v>
      </c>
      <c r="F59" s="17">
        <v>69.04</v>
      </c>
      <c r="G59" s="17">
        <f t="shared" si="1"/>
        <v>27.616</v>
      </c>
      <c r="H59" s="17">
        <f t="shared" si="2"/>
        <v>56.236</v>
      </c>
      <c r="I59" s="17" t="s">
        <v>10</v>
      </c>
    </row>
    <row r="60" s="1" customFormat="1" ht="31" customHeight="1" spans="1:9">
      <c r="A60" s="18">
        <v>58</v>
      </c>
      <c r="B60" s="18" t="str">
        <f>"15001010427"</f>
        <v>15001010427</v>
      </c>
      <c r="C60" s="18" t="str">
        <f>"单登"</f>
        <v>单登</v>
      </c>
      <c r="D60" s="18">
        <f>VLOOKUP(B60,'[1]01-伊旗籍男岗'!$C$3:$E$127,3,FALSE)</f>
        <v>47.6</v>
      </c>
      <c r="E60" s="19">
        <f t="shared" si="0"/>
        <v>28.56</v>
      </c>
      <c r="F60" s="19">
        <v>68.78</v>
      </c>
      <c r="G60" s="19">
        <f t="shared" si="1"/>
        <v>27.512</v>
      </c>
      <c r="H60" s="19">
        <f t="shared" si="2"/>
        <v>56.072</v>
      </c>
      <c r="I60" s="19" t="s">
        <v>10</v>
      </c>
    </row>
    <row r="61" s="1" customFormat="1" ht="31" customHeight="1" spans="1:9">
      <c r="A61" s="16">
        <v>59</v>
      </c>
      <c r="B61" s="16" t="str">
        <f>"15001010209"</f>
        <v>15001010209</v>
      </c>
      <c r="C61" s="16" t="str">
        <f>"白腾荣"</f>
        <v>白腾荣</v>
      </c>
      <c r="D61" s="16">
        <f>VLOOKUP(B61,'[1]01-伊旗籍男岗'!$C$3:$E$127,3,FALSE)</f>
        <v>47.8</v>
      </c>
      <c r="E61" s="17">
        <f t="shared" si="0"/>
        <v>28.68</v>
      </c>
      <c r="F61" s="17">
        <v>68.47</v>
      </c>
      <c r="G61" s="17">
        <f t="shared" si="1"/>
        <v>27.388</v>
      </c>
      <c r="H61" s="17">
        <f t="shared" si="2"/>
        <v>56.068</v>
      </c>
      <c r="I61" s="17" t="s">
        <v>10</v>
      </c>
    </row>
    <row r="62" s="1" customFormat="1" ht="31" customHeight="1" spans="1:9">
      <c r="A62" s="18">
        <v>60</v>
      </c>
      <c r="B62" s="18" t="str">
        <f>"15001010729"</f>
        <v>15001010729</v>
      </c>
      <c r="C62" s="18" t="str">
        <f>"韩庭"</f>
        <v>韩庭</v>
      </c>
      <c r="D62" s="18">
        <f>VLOOKUP(B62,'[1]01-伊旗籍男岗'!$C$3:$E$127,3,FALSE)</f>
        <v>46</v>
      </c>
      <c r="E62" s="19">
        <f t="shared" si="0"/>
        <v>27.6</v>
      </c>
      <c r="F62" s="19">
        <v>70.912</v>
      </c>
      <c r="G62" s="19">
        <f t="shared" si="1"/>
        <v>28.3648</v>
      </c>
      <c r="H62" s="19">
        <f t="shared" si="2"/>
        <v>55.9648</v>
      </c>
      <c r="I62" s="19" t="s">
        <v>10</v>
      </c>
    </row>
    <row r="63" s="1" customFormat="1" ht="31" customHeight="1" spans="1:9">
      <c r="A63" s="16">
        <v>61</v>
      </c>
      <c r="B63" s="16" t="str">
        <f>"15001010124"</f>
        <v>15001010124</v>
      </c>
      <c r="C63" s="16" t="str">
        <f>"孙磊"</f>
        <v>孙磊</v>
      </c>
      <c r="D63" s="16">
        <f>VLOOKUP(B63,'[1]01-伊旗籍男岗'!$C$3:$E$127,3,FALSE)</f>
        <v>50.2</v>
      </c>
      <c r="E63" s="17">
        <f t="shared" si="0"/>
        <v>30.12</v>
      </c>
      <c r="F63" s="17">
        <v>64.51</v>
      </c>
      <c r="G63" s="17">
        <f t="shared" si="1"/>
        <v>25.804</v>
      </c>
      <c r="H63" s="17">
        <f t="shared" si="2"/>
        <v>55.924</v>
      </c>
      <c r="I63" s="17" t="s">
        <v>10</v>
      </c>
    </row>
    <row r="64" s="1" customFormat="1" ht="31" customHeight="1" spans="1:9">
      <c r="A64" s="18">
        <v>62</v>
      </c>
      <c r="B64" s="18" t="str">
        <f>"15001011107"</f>
        <v>15001011107</v>
      </c>
      <c r="C64" s="18" t="str">
        <f>"王正"</f>
        <v>王正</v>
      </c>
      <c r="D64" s="18">
        <f>VLOOKUP(B64,'[1]01-伊旗籍男岗'!$C$3:$E$127,3,FALSE)</f>
        <v>52.2</v>
      </c>
      <c r="E64" s="19">
        <f t="shared" si="0"/>
        <v>31.32</v>
      </c>
      <c r="F64" s="19">
        <v>61.5</v>
      </c>
      <c r="G64" s="19">
        <f t="shared" si="1"/>
        <v>24.6</v>
      </c>
      <c r="H64" s="19">
        <f t="shared" si="2"/>
        <v>55.92</v>
      </c>
      <c r="I64" s="19" t="s">
        <v>10</v>
      </c>
    </row>
    <row r="65" s="1" customFormat="1" ht="31" customHeight="1" spans="1:9">
      <c r="A65" s="16">
        <v>63</v>
      </c>
      <c r="B65" s="16" t="str">
        <f>"15001011109"</f>
        <v>15001011109</v>
      </c>
      <c r="C65" s="16" t="str">
        <f>"祁瑞"</f>
        <v>祁瑞</v>
      </c>
      <c r="D65" s="16">
        <f>VLOOKUP(B65,'[1]01-伊旗籍男岗'!$C$3:$E$127,3,FALSE)</f>
        <v>48.6</v>
      </c>
      <c r="E65" s="17">
        <f t="shared" si="0"/>
        <v>29.16</v>
      </c>
      <c r="F65" s="17">
        <v>66.58</v>
      </c>
      <c r="G65" s="17">
        <f t="shared" si="1"/>
        <v>26.632</v>
      </c>
      <c r="H65" s="17">
        <f t="shared" si="2"/>
        <v>55.792</v>
      </c>
      <c r="I65" s="17" t="s">
        <v>10</v>
      </c>
    </row>
    <row r="66" s="1" customFormat="1" ht="31" customHeight="1" spans="1:9">
      <c r="A66" s="18">
        <v>64</v>
      </c>
      <c r="B66" s="18" t="str">
        <f>"15001010127"</f>
        <v>15001010127</v>
      </c>
      <c r="C66" s="18" t="str">
        <f>"王子录"</f>
        <v>王子录</v>
      </c>
      <c r="D66" s="18">
        <f>VLOOKUP(B66,'[1]01-伊旗籍男岗'!$C$3:$E$127,3,FALSE)</f>
        <v>47.3</v>
      </c>
      <c r="E66" s="19">
        <f t="shared" si="0"/>
        <v>28.38</v>
      </c>
      <c r="F66" s="19">
        <v>68.192</v>
      </c>
      <c r="G66" s="19">
        <f t="shared" si="1"/>
        <v>27.2768</v>
      </c>
      <c r="H66" s="19">
        <f t="shared" si="2"/>
        <v>55.6568</v>
      </c>
      <c r="I66" s="19" t="s">
        <v>10</v>
      </c>
    </row>
    <row r="67" s="1" customFormat="1" ht="31" customHeight="1" spans="1:9">
      <c r="A67" s="16">
        <v>65</v>
      </c>
      <c r="B67" s="16" t="str">
        <f>"15001010525"</f>
        <v>15001010525</v>
      </c>
      <c r="C67" s="16" t="str">
        <f>"郭露"</f>
        <v>郭露</v>
      </c>
      <c r="D67" s="16">
        <f>VLOOKUP(B67,'[1]01-伊旗籍男岗'!$C$3:$E$127,3,FALSE)</f>
        <v>48.9</v>
      </c>
      <c r="E67" s="17">
        <f t="shared" ref="E67:E127" si="3">D67*0.6</f>
        <v>29.34</v>
      </c>
      <c r="F67" s="17">
        <v>65.4</v>
      </c>
      <c r="G67" s="17">
        <f t="shared" ref="G67:G127" si="4">F67*0.4</f>
        <v>26.16</v>
      </c>
      <c r="H67" s="17">
        <f t="shared" ref="H67:H127" si="5">E67+G67</f>
        <v>55.5</v>
      </c>
      <c r="I67" s="17" t="s">
        <v>10</v>
      </c>
    </row>
    <row r="68" s="1" customFormat="1" ht="31" customHeight="1" spans="1:9">
      <c r="A68" s="18">
        <v>66</v>
      </c>
      <c r="B68" s="18" t="str">
        <f>"15001011123"</f>
        <v>15001011123</v>
      </c>
      <c r="C68" s="18" t="str">
        <f>"杨伊博"</f>
        <v>杨伊博</v>
      </c>
      <c r="D68" s="18">
        <f>VLOOKUP(B68,'[1]01-伊旗籍男岗'!$C$3:$E$127,3,FALSE)</f>
        <v>49.7</v>
      </c>
      <c r="E68" s="19">
        <f t="shared" si="3"/>
        <v>29.82</v>
      </c>
      <c r="F68" s="19">
        <v>64.14</v>
      </c>
      <c r="G68" s="19">
        <f t="shared" si="4"/>
        <v>25.656</v>
      </c>
      <c r="H68" s="19">
        <f t="shared" si="5"/>
        <v>55.476</v>
      </c>
      <c r="I68" s="19" t="s">
        <v>10</v>
      </c>
    </row>
    <row r="69" s="1" customFormat="1" ht="31" customHeight="1" spans="1:9">
      <c r="A69" s="16">
        <v>67</v>
      </c>
      <c r="B69" s="16" t="str">
        <f>"15001010806"</f>
        <v>15001010806</v>
      </c>
      <c r="C69" s="16" t="str">
        <f>"杨晓龙"</f>
        <v>杨晓龙</v>
      </c>
      <c r="D69" s="16">
        <f>VLOOKUP(B69,'[1]01-伊旗籍男岗'!$C$3:$E$127,3,FALSE)</f>
        <v>51</v>
      </c>
      <c r="E69" s="17">
        <f t="shared" si="3"/>
        <v>30.6</v>
      </c>
      <c r="F69" s="17">
        <v>62.02</v>
      </c>
      <c r="G69" s="17">
        <f t="shared" si="4"/>
        <v>24.808</v>
      </c>
      <c r="H69" s="17">
        <f t="shared" si="5"/>
        <v>55.408</v>
      </c>
      <c r="I69" s="17" t="s">
        <v>10</v>
      </c>
    </row>
    <row r="70" s="1" customFormat="1" ht="31" customHeight="1" spans="1:9">
      <c r="A70" s="18">
        <v>68</v>
      </c>
      <c r="B70" s="18" t="str">
        <f>"15001011412"</f>
        <v>15001011412</v>
      </c>
      <c r="C70" s="18" t="str">
        <f>"袁新"</f>
        <v>袁新</v>
      </c>
      <c r="D70" s="18">
        <f>VLOOKUP(B70,'[1]01-伊旗籍男岗'!$C$3:$E$127,3,FALSE)</f>
        <v>47.3</v>
      </c>
      <c r="E70" s="19">
        <f t="shared" si="3"/>
        <v>28.38</v>
      </c>
      <c r="F70" s="19">
        <v>67.12</v>
      </c>
      <c r="G70" s="19">
        <f t="shared" si="4"/>
        <v>26.848</v>
      </c>
      <c r="H70" s="19">
        <f t="shared" si="5"/>
        <v>55.228</v>
      </c>
      <c r="I70" s="19" t="s">
        <v>10</v>
      </c>
    </row>
    <row r="71" s="1" customFormat="1" ht="31" customHeight="1" spans="1:9">
      <c r="A71" s="16">
        <v>69</v>
      </c>
      <c r="B71" s="16" t="str">
        <f>"15001011327"</f>
        <v>15001011327</v>
      </c>
      <c r="C71" s="16" t="str">
        <f>"刘强"</f>
        <v>刘强</v>
      </c>
      <c r="D71" s="16">
        <f>VLOOKUP(B71,'[1]01-伊旗籍男岗'!$C$3:$E$127,3,FALSE)</f>
        <v>47.9</v>
      </c>
      <c r="E71" s="17">
        <f t="shared" si="3"/>
        <v>28.74</v>
      </c>
      <c r="F71" s="17">
        <v>65.27</v>
      </c>
      <c r="G71" s="17">
        <f t="shared" si="4"/>
        <v>26.108</v>
      </c>
      <c r="H71" s="17">
        <f t="shared" si="5"/>
        <v>54.848</v>
      </c>
      <c r="I71" s="17" t="s">
        <v>10</v>
      </c>
    </row>
    <row r="72" s="1" customFormat="1" ht="31" customHeight="1" spans="1:9">
      <c r="A72" s="18">
        <v>70</v>
      </c>
      <c r="B72" s="18" t="str">
        <f>"15001010603"</f>
        <v>15001010603</v>
      </c>
      <c r="C72" s="18" t="str">
        <f>"李科鑫"</f>
        <v>李科鑫</v>
      </c>
      <c r="D72" s="18">
        <f>VLOOKUP(B72,'[1]01-伊旗籍男岗'!$C$3:$E$127,3,FALSE)</f>
        <v>45.4</v>
      </c>
      <c r="E72" s="19">
        <f t="shared" si="3"/>
        <v>27.24</v>
      </c>
      <c r="F72" s="19">
        <v>68.56</v>
      </c>
      <c r="G72" s="19">
        <f t="shared" si="4"/>
        <v>27.424</v>
      </c>
      <c r="H72" s="19">
        <f t="shared" si="5"/>
        <v>54.664</v>
      </c>
      <c r="I72" s="19" t="s">
        <v>10</v>
      </c>
    </row>
    <row r="73" s="1" customFormat="1" ht="31" customHeight="1" spans="1:9">
      <c r="A73" s="16">
        <v>71</v>
      </c>
      <c r="B73" s="16" t="str">
        <f>"15001011306"</f>
        <v>15001011306</v>
      </c>
      <c r="C73" s="16" t="str">
        <f>"张宏磊"</f>
        <v>张宏磊</v>
      </c>
      <c r="D73" s="16">
        <f>VLOOKUP(B73,'[1]01-伊旗籍男岗'!$C$3:$E$127,3,FALSE)</f>
        <v>47.1</v>
      </c>
      <c r="E73" s="17">
        <f t="shared" si="3"/>
        <v>28.26</v>
      </c>
      <c r="F73" s="17">
        <v>65.64</v>
      </c>
      <c r="G73" s="17">
        <f t="shared" si="4"/>
        <v>26.256</v>
      </c>
      <c r="H73" s="17">
        <f t="shared" si="5"/>
        <v>54.516</v>
      </c>
      <c r="I73" s="17" t="s">
        <v>10</v>
      </c>
    </row>
    <row r="74" s="1" customFormat="1" ht="31" customHeight="1" spans="1:9">
      <c r="A74" s="18">
        <v>72</v>
      </c>
      <c r="B74" s="18" t="str">
        <f>"15001010824"</f>
        <v>15001010824</v>
      </c>
      <c r="C74" s="18" t="str">
        <f>"王震"</f>
        <v>王震</v>
      </c>
      <c r="D74" s="18">
        <f>VLOOKUP(B74,'[1]01-伊旗籍男岗'!$C$3:$E$127,3,FALSE)</f>
        <v>49.7</v>
      </c>
      <c r="E74" s="19">
        <f t="shared" si="3"/>
        <v>29.82</v>
      </c>
      <c r="F74" s="19">
        <v>61.41</v>
      </c>
      <c r="G74" s="19">
        <f t="shared" si="4"/>
        <v>24.564</v>
      </c>
      <c r="H74" s="19">
        <f t="shared" si="5"/>
        <v>54.384</v>
      </c>
      <c r="I74" s="19" t="s">
        <v>10</v>
      </c>
    </row>
    <row r="75" s="1" customFormat="1" ht="31" customHeight="1" spans="1:9">
      <c r="A75" s="16">
        <v>73</v>
      </c>
      <c r="B75" s="16" t="str">
        <f>"15001010823"</f>
        <v>15001010823</v>
      </c>
      <c r="C75" s="16" t="str">
        <f>"白雨"</f>
        <v>白雨</v>
      </c>
      <c r="D75" s="16">
        <f>VLOOKUP(B75,'[1]01-伊旗籍男岗'!$C$3:$E$127,3,FALSE)</f>
        <v>47.9</v>
      </c>
      <c r="E75" s="17">
        <f t="shared" si="3"/>
        <v>28.74</v>
      </c>
      <c r="F75" s="17">
        <v>63.57</v>
      </c>
      <c r="G75" s="17">
        <f t="shared" si="4"/>
        <v>25.428</v>
      </c>
      <c r="H75" s="17">
        <f t="shared" si="5"/>
        <v>54.168</v>
      </c>
      <c r="I75" s="17" t="s">
        <v>10</v>
      </c>
    </row>
    <row r="76" s="1" customFormat="1" ht="31" customHeight="1" spans="1:9">
      <c r="A76" s="18">
        <v>74</v>
      </c>
      <c r="B76" s="18" t="str">
        <f>"15001010103"</f>
        <v>15001010103</v>
      </c>
      <c r="C76" s="18" t="str">
        <f>"王治衡"</f>
        <v>王治衡</v>
      </c>
      <c r="D76" s="18">
        <f>VLOOKUP(B76,'[1]01-伊旗籍男岗'!$C$3:$E$127,3,FALSE)</f>
        <v>45.1</v>
      </c>
      <c r="E76" s="19">
        <f t="shared" si="3"/>
        <v>27.06</v>
      </c>
      <c r="F76" s="19">
        <v>67.596</v>
      </c>
      <c r="G76" s="19">
        <f t="shared" si="4"/>
        <v>27.0384</v>
      </c>
      <c r="H76" s="19">
        <f t="shared" si="5"/>
        <v>54.0984</v>
      </c>
      <c r="I76" s="19" t="s">
        <v>10</v>
      </c>
    </row>
    <row r="77" s="1" customFormat="1" ht="31" customHeight="1" spans="1:9">
      <c r="A77" s="16">
        <v>75</v>
      </c>
      <c r="B77" s="16" t="str">
        <f>"15001011008"</f>
        <v>15001011008</v>
      </c>
      <c r="C77" s="16" t="str">
        <f>"高浩宇"</f>
        <v>高浩宇</v>
      </c>
      <c r="D77" s="16">
        <f>VLOOKUP(B77,'[1]01-伊旗籍男岗'!$C$3:$E$127,3,FALSE)</f>
        <v>48.2</v>
      </c>
      <c r="E77" s="17">
        <f t="shared" si="3"/>
        <v>28.92</v>
      </c>
      <c r="F77" s="17">
        <v>62.93</v>
      </c>
      <c r="G77" s="17">
        <f t="shared" si="4"/>
        <v>25.172</v>
      </c>
      <c r="H77" s="17">
        <f t="shared" si="5"/>
        <v>54.092</v>
      </c>
      <c r="I77" s="17" t="s">
        <v>10</v>
      </c>
    </row>
    <row r="78" s="1" customFormat="1" ht="31" customHeight="1" spans="1:9">
      <c r="A78" s="18">
        <v>76</v>
      </c>
      <c r="B78" s="18" t="str">
        <f>"15001011406"</f>
        <v>15001011406</v>
      </c>
      <c r="C78" s="18" t="str">
        <f>"张鑫源"</f>
        <v>张鑫源</v>
      </c>
      <c r="D78" s="18">
        <f>VLOOKUP(B78,'[1]01-伊旗籍男岗'!$C$3:$E$127,3,FALSE)</f>
        <v>46.1</v>
      </c>
      <c r="E78" s="19">
        <f t="shared" si="3"/>
        <v>27.66</v>
      </c>
      <c r="F78" s="19">
        <v>64.88</v>
      </c>
      <c r="G78" s="19">
        <f t="shared" si="4"/>
        <v>25.952</v>
      </c>
      <c r="H78" s="19">
        <f t="shared" si="5"/>
        <v>53.612</v>
      </c>
      <c r="I78" s="19" t="s">
        <v>10</v>
      </c>
    </row>
    <row r="79" s="1" customFormat="1" ht="31" customHeight="1" spans="1:9">
      <c r="A79" s="16">
        <v>77</v>
      </c>
      <c r="B79" s="16" t="str">
        <f>"15001011115"</f>
        <v>15001011115</v>
      </c>
      <c r="C79" s="16" t="str">
        <f>"孙强"</f>
        <v>孙强</v>
      </c>
      <c r="D79" s="16">
        <f>VLOOKUP(B79,'[1]01-伊旗籍男岗'!$C$3:$E$127,3,FALSE)</f>
        <v>42.2</v>
      </c>
      <c r="E79" s="17">
        <f t="shared" si="3"/>
        <v>25.32</v>
      </c>
      <c r="F79" s="17">
        <v>70.5</v>
      </c>
      <c r="G79" s="17">
        <f t="shared" si="4"/>
        <v>28.2</v>
      </c>
      <c r="H79" s="17">
        <f t="shared" si="5"/>
        <v>53.52</v>
      </c>
      <c r="I79" s="17" t="s">
        <v>10</v>
      </c>
    </row>
    <row r="80" s="1" customFormat="1" ht="31" customHeight="1" spans="1:9">
      <c r="A80" s="18">
        <v>78</v>
      </c>
      <c r="B80" s="18" t="str">
        <f>"15001010509"</f>
        <v>15001010509</v>
      </c>
      <c r="C80" s="18" t="str">
        <f>"高敏"</f>
        <v>高敏</v>
      </c>
      <c r="D80" s="18">
        <f>VLOOKUP(B80,'[1]01-伊旗籍男岗'!$C$3:$E$127,3,FALSE)</f>
        <v>46.7</v>
      </c>
      <c r="E80" s="19">
        <f t="shared" si="3"/>
        <v>28.02</v>
      </c>
      <c r="F80" s="19">
        <v>63.54</v>
      </c>
      <c r="G80" s="19">
        <f t="shared" si="4"/>
        <v>25.416</v>
      </c>
      <c r="H80" s="19">
        <f t="shared" si="5"/>
        <v>53.436</v>
      </c>
      <c r="I80" s="19" t="s">
        <v>10</v>
      </c>
    </row>
    <row r="81" s="1" customFormat="1" ht="31" customHeight="1" spans="1:9">
      <c r="A81" s="16">
        <v>79</v>
      </c>
      <c r="B81" s="16" t="str">
        <f>"15001010720"</f>
        <v>15001010720</v>
      </c>
      <c r="C81" s="16" t="str">
        <f>"孙波"</f>
        <v>孙波</v>
      </c>
      <c r="D81" s="16">
        <f>VLOOKUP(B81,'[1]01-伊旗籍男岗'!$C$3:$E$127,3,FALSE)</f>
        <v>46.6</v>
      </c>
      <c r="E81" s="17">
        <f t="shared" si="3"/>
        <v>27.96</v>
      </c>
      <c r="F81" s="17">
        <v>62.94</v>
      </c>
      <c r="G81" s="17">
        <f t="shared" si="4"/>
        <v>25.176</v>
      </c>
      <c r="H81" s="17">
        <f t="shared" si="5"/>
        <v>53.136</v>
      </c>
      <c r="I81" s="17" t="s">
        <v>10</v>
      </c>
    </row>
    <row r="82" s="1" customFormat="1" ht="31" customHeight="1" spans="1:9">
      <c r="A82" s="18">
        <v>80</v>
      </c>
      <c r="B82" s="18" t="str">
        <f>"15001010216"</f>
        <v>15001010216</v>
      </c>
      <c r="C82" s="18" t="str">
        <f>"张帅"</f>
        <v>张帅</v>
      </c>
      <c r="D82" s="18">
        <f>VLOOKUP(B82,'[1]01-伊旗籍男岗'!$C$3:$E$127,3,FALSE)</f>
        <v>44.3</v>
      </c>
      <c r="E82" s="19">
        <f t="shared" si="3"/>
        <v>26.58</v>
      </c>
      <c r="F82" s="19">
        <v>66.082</v>
      </c>
      <c r="G82" s="19">
        <f t="shared" si="4"/>
        <v>26.4328</v>
      </c>
      <c r="H82" s="19">
        <f t="shared" si="5"/>
        <v>53.0128</v>
      </c>
      <c r="I82" s="19" t="s">
        <v>10</v>
      </c>
    </row>
    <row r="83" s="1" customFormat="1" ht="31" customHeight="1" spans="1:9">
      <c r="A83" s="16">
        <v>81</v>
      </c>
      <c r="B83" s="16" t="str">
        <f>"15001010604"</f>
        <v>15001010604</v>
      </c>
      <c r="C83" s="16" t="str">
        <f>"尔其楞"</f>
        <v>尔其楞</v>
      </c>
      <c r="D83" s="16">
        <f>VLOOKUP(B83,'[1]01-伊旗籍男岗'!$C$3:$E$127,3,FALSE)</f>
        <v>44.6</v>
      </c>
      <c r="E83" s="17">
        <f t="shared" si="3"/>
        <v>26.76</v>
      </c>
      <c r="F83" s="17">
        <v>65.54</v>
      </c>
      <c r="G83" s="17">
        <f t="shared" si="4"/>
        <v>26.216</v>
      </c>
      <c r="H83" s="17">
        <f t="shared" si="5"/>
        <v>52.976</v>
      </c>
      <c r="I83" s="17" t="s">
        <v>10</v>
      </c>
    </row>
    <row r="84" s="1" customFormat="1" ht="31" customHeight="1" spans="1:9">
      <c r="A84" s="18">
        <v>82</v>
      </c>
      <c r="B84" s="18" t="str">
        <f>"15001011220"</f>
        <v>15001011220</v>
      </c>
      <c r="C84" s="18" t="str">
        <f>"朱星雨"</f>
        <v>朱星雨</v>
      </c>
      <c r="D84" s="18">
        <f>VLOOKUP(B84,'[1]01-伊旗籍男岗'!$C$3:$E$127,3,FALSE)</f>
        <v>54.2</v>
      </c>
      <c r="E84" s="19">
        <f t="shared" si="3"/>
        <v>32.52</v>
      </c>
      <c r="F84" s="19">
        <v>51.08</v>
      </c>
      <c r="G84" s="19">
        <f t="shared" si="4"/>
        <v>20.432</v>
      </c>
      <c r="H84" s="19">
        <f t="shared" si="5"/>
        <v>52.952</v>
      </c>
      <c r="I84" s="19" t="s">
        <v>10</v>
      </c>
    </row>
    <row r="85" s="1" customFormat="1" ht="31" customHeight="1" spans="1:9">
      <c r="A85" s="16">
        <v>83</v>
      </c>
      <c r="B85" s="16" t="str">
        <f>"15001010528"</f>
        <v>15001010528</v>
      </c>
      <c r="C85" s="16" t="str">
        <f>"耿浩伟"</f>
        <v>耿浩伟</v>
      </c>
      <c r="D85" s="16">
        <f>VLOOKUP(B85,'[1]01-伊旗籍男岗'!$C$3:$E$127,3,FALSE)</f>
        <v>46.7</v>
      </c>
      <c r="E85" s="17">
        <f t="shared" si="3"/>
        <v>28.02</v>
      </c>
      <c r="F85" s="17">
        <v>62.15</v>
      </c>
      <c r="G85" s="17">
        <f t="shared" si="4"/>
        <v>24.86</v>
      </c>
      <c r="H85" s="17">
        <f t="shared" si="5"/>
        <v>52.88</v>
      </c>
      <c r="I85" s="17" t="s">
        <v>10</v>
      </c>
    </row>
    <row r="86" s="1" customFormat="1" ht="31" customHeight="1" spans="1:9">
      <c r="A86" s="18">
        <v>84</v>
      </c>
      <c r="B86" s="18" t="str">
        <f>"15001011103"</f>
        <v>15001011103</v>
      </c>
      <c r="C86" s="18" t="str">
        <f>"麻伟"</f>
        <v>麻伟</v>
      </c>
      <c r="D86" s="18">
        <f>VLOOKUP(B86,'[1]01-伊旗籍男岗'!$C$3:$E$127,3,FALSE)</f>
        <v>47.1</v>
      </c>
      <c r="E86" s="19">
        <f t="shared" si="3"/>
        <v>28.26</v>
      </c>
      <c r="F86" s="19">
        <v>61.47</v>
      </c>
      <c r="G86" s="19">
        <f t="shared" si="4"/>
        <v>24.588</v>
      </c>
      <c r="H86" s="19">
        <f t="shared" si="5"/>
        <v>52.848</v>
      </c>
      <c r="I86" s="19" t="s">
        <v>10</v>
      </c>
    </row>
    <row r="87" s="1" customFormat="1" ht="31" customHeight="1" spans="1:9">
      <c r="A87" s="16">
        <v>85</v>
      </c>
      <c r="B87" s="16" t="str">
        <f>"15001010213"</f>
        <v>15001010213</v>
      </c>
      <c r="C87" s="16" t="str">
        <f>"武志岗"</f>
        <v>武志岗</v>
      </c>
      <c r="D87" s="16">
        <f>VLOOKUP(B87,'[1]01-伊旗籍男岗'!$C$3:$E$127,3,FALSE)</f>
        <v>45.1</v>
      </c>
      <c r="E87" s="17">
        <f t="shared" si="3"/>
        <v>27.06</v>
      </c>
      <c r="F87" s="17">
        <v>64.27</v>
      </c>
      <c r="G87" s="17">
        <f t="shared" si="4"/>
        <v>25.708</v>
      </c>
      <c r="H87" s="17">
        <f t="shared" si="5"/>
        <v>52.768</v>
      </c>
      <c r="I87" s="17" t="s">
        <v>10</v>
      </c>
    </row>
    <row r="88" s="1" customFormat="1" ht="31" customHeight="1" spans="1:9">
      <c r="A88" s="18">
        <v>86</v>
      </c>
      <c r="B88" s="18" t="str">
        <f>"15001010620"</f>
        <v>15001010620</v>
      </c>
      <c r="C88" s="18" t="str">
        <f>"武智元"</f>
        <v>武智元</v>
      </c>
      <c r="D88" s="18">
        <f>VLOOKUP(B88,'[1]01-伊旗籍男岗'!$C$3:$E$127,3,FALSE)</f>
        <v>42.3</v>
      </c>
      <c r="E88" s="19">
        <f t="shared" si="3"/>
        <v>25.38</v>
      </c>
      <c r="F88" s="19">
        <v>68.03</v>
      </c>
      <c r="G88" s="19">
        <f t="shared" si="4"/>
        <v>27.212</v>
      </c>
      <c r="H88" s="19">
        <f t="shared" si="5"/>
        <v>52.592</v>
      </c>
      <c r="I88" s="19" t="s">
        <v>10</v>
      </c>
    </row>
    <row r="89" s="1" customFormat="1" ht="31" customHeight="1" spans="1:9">
      <c r="A89" s="16">
        <v>87</v>
      </c>
      <c r="B89" s="16" t="str">
        <f>"15001010711"</f>
        <v>15001010711</v>
      </c>
      <c r="C89" s="16" t="str">
        <f>"兰宇"</f>
        <v>兰宇</v>
      </c>
      <c r="D89" s="16">
        <f>VLOOKUP(B89,'[1]01-伊旗籍男岗'!$C$3:$E$127,3,FALSE)</f>
        <v>44</v>
      </c>
      <c r="E89" s="17">
        <f t="shared" si="3"/>
        <v>26.4</v>
      </c>
      <c r="F89" s="17">
        <v>65.25</v>
      </c>
      <c r="G89" s="17">
        <f t="shared" si="4"/>
        <v>26.1</v>
      </c>
      <c r="H89" s="17">
        <f t="shared" si="5"/>
        <v>52.5</v>
      </c>
      <c r="I89" s="17" t="s">
        <v>10</v>
      </c>
    </row>
    <row r="90" s="1" customFormat="1" ht="31" customHeight="1" spans="1:9">
      <c r="A90" s="18">
        <v>88</v>
      </c>
      <c r="B90" s="18" t="str">
        <f>"15001010210"</f>
        <v>15001010210</v>
      </c>
      <c r="C90" s="18" t="str">
        <f>"杜小虎"</f>
        <v>杜小虎</v>
      </c>
      <c r="D90" s="18">
        <f>VLOOKUP(B90,'[1]01-伊旗籍男岗'!$C$3:$E$127,3,FALSE)</f>
        <v>45.1</v>
      </c>
      <c r="E90" s="19">
        <f t="shared" si="3"/>
        <v>27.06</v>
      </c>
      <c r="F90" s="19">
        <v>63.212</v>
      </c>
      <c r="G90" s="19">
        <f t="shared" si="4"/>
        <v>25.2848</v>
      </c>
      <c r="H90" s="19">
        <f t="shared" si="5"/>
        <v>52.3448</v>
      </c>
      <c r="I90" s="19" t="s">
        <v>10</v>
      </c>
    </row>
    <row r="91" s="1" customFormat="1" ht="31" customHeight="1" spans="1:9">
      <c r="A91" s="16">
        <v>89</v>
      </c>
      <c r="B91" s="16" t="str">
        <f>"15001010311"</f>
        <v>15001010311</v>
      </c>
      <c r="C91" s="16" t="str">
        <f>"杨波"</f>
        <v>杨波</v>
      </c>
      <c r="D91" s="16">
        <f>VLOOKUP(B91,'[1]01-伊旗籍男岗'!$C$3:$E$127,3,FALSE)</f>
        <v>46.6</v>
      </c>
      <c r="E91" s="17">
        <f t="shared" si="3"/>
        <v>27.96</v>
      </c>
      <c r="F91" s="17">
        <v>60.54</v>
      </c>
      <c r="G91" s="17">
        <f t="shared" si="4"/>
        <v>24.216</v>
      </c>
      <c r="H91" s="17">
        <f t="shared" si="5"/>
        <v>52.176</v>
      </c>
      <c r="I91" s="17" t="s">
        <v>10</v>
      </c>
    </row>
    <row r="92" s="1" customFormat="1" ht="31" customHeight="1" spans="1:9">
      <c r="A92" s="18">
        <v>90</v>
      </c>
      <c r="B92" s="18" t="str">
        <f>"15001011421"</f>
        <v>15001011421</v>
      </c>
      <c r="C92" s="18" t="str">
        <f>"赛西雅图"</f>
        <v>赛西雅图</v>
      </c>
      <c r="D92" s="18">
        <f>VLOOKUP(B92,'[1]01-伊旗籍男岗'!$C$3:$E$127,3,FALSE)</f>
        <v>43.6</v>
      </c>
      <c r="E92" s="19">
        <f t="shared" si="3"/>
        <v>26.16</v>
      </c>
      <c r="F92" s="19">
        <v>64.6</v>
      </c>
      <c r="G92" s="19">
        <f t="shared" si="4"/>
        <v>25.84</v>
      </c>
      <c r="H92" s="19">
        <f t="shared" si="5"/>
        <v>52</v>
      </c>
      <c r="I92" s="19" t="s">
        <v>10</v>
      </c>
    </row>
    <row r="93" s="1" customFormat="1" ht="31" customHeight="1" spans="1:9">
      <c r="A93" s="16">
        <v>91</v>
      </c>
      <c r="B93" s="16" t="str">
        <f>"15001010908"</f>
        <v>15001010908</v>
      </c>
      <c r="C93" s="16" t="str">
        <f>"杜鑫"</f>
        <v>杜鑫</v>
      </c>
      <c r="D93" s="16">
        <f>VLOOKUP(B93,'[1]01-伊旗籍男岗'!$C$3:$E$127,3,FALSE)</f>
        <v>42.1</v>
      </c>
      <c r="E93" s="17">
        <f t="shared" si="3"/>
        <v>25.26</v>
      </c>
      <c r="F93" s="17">
        <v>66.69</v>
      </c>
      <c r="G93" s="17">
        <f t="shared" si="4"/>
        <v>26.676</v>
      </c>
      <c r="H93" s="17">
        <f t="shared" si="5"/>
        <v>51.936</v>
      </c>
      <c r="I93" s="17" t="s">
        <v>10</v>
      </c>
    </row>
    <row r="94" s="1" customFormat="1" ht="31" customHeight="1" spans="1:9">
      <c r="A94" s="18">
        <v>92</v>
      </c>
      <c r="B94" s="18" t="str">
        <f>"15001011307"</f>
        <v>15001011307</v>
      </c>
      <c r="C94" s="18" t="str">
        <f>"康鑫"</f>
        <v>康鑫</v>
      </c>
      <c r="D94" s="18">
        <f>VLOOKUP(B94,'[1]01-伊旗籍男岗'!$C$3:$E$127,3,FALSE)</f>
        <v>45</v>
      </c>
      <c r="E94" s="19">
        <f t="shared" si="3"/>
        <v>27</v>
      </c>
      <c r="F94" s="19">
        <v>61.664</v>
      </c>
      <c r="G94" s="19">
        <f t="shared" si="4"/>
        <v>24.6656</v>
      </c>
      <c r="H94" s="19">
        <f t="shared" si="5"/>
        <v>51.6656</v>
      </c>
      <c r="I94" s="19" t="s">
        <v>10</v>
      </c>
    </row>
    <row r="95" s="1" customFormat="1" ht="31" customHeight="1" spans="1:9">
      <c r="A95" s="16">
        <v>93</v>
      </c>
      <c r="B95" s="16" t="str">
        <f>"15001010517"</f>
        <v>15001010517</v>
      </c>
      <c r="C95" s="16" t="str">
        <f>"郭鹏飞"</f>
        <v>郭鹏飞</v>
      </c>
      <c r="D95" s="16">
        <f>VLOOKUP(B95,'[1]01-伊旗籍男岗'!$C$3:$E$127,3,FALSE)</f>
        <v>42</v>
      </c>
      <c r="E95" s="17">
        <f t="shared" si="3"/>
        <v>25.2</v>
      </c>
      <c r="F95" s="17">
        <v>66.104</v>
      </c>
      <c r="G95" s="17">
        <f t="shared" si="4"/>
        <v>26.4416</v>
      </c>
      <c r="H95" s="17">
        <f t="shared" si="5"/>
        <v>51.6416</v>
      </c>
      <c r="I95" s="17" t="s">
        <v>10</v>
      </c>
    </row>
    <row r="96" s="1" customFormat="1" ht="31" customHeight="1" spans="1:9">
      <c r="A96" s="18">
        <v>94</v>
      </c>
      <c r="B96" s="18" t="str">
        <f>"15001011114"</f>
        <v>15001011114</v>
      </c>
      <c r="C96" s="18" t="str">
        <f>"高伟"</f>
        <v>高伟</v>
      </c>
      <c r="D96" s="18">
        <f>VLOOKUP(B96,'[1]01-伊旗籍男岗'!$C$3:$E$127,3,FALSE)</f>
        <v>43.1</v>
      </c>
      <c r="E96" s="19">
        <f t="shared" si="3"/>
        <v>25.86</v>
      </c>
      <c r="F96" s="19">
        <v>64.42</v>
      </c>
      <c r="G96" s="19">
        <f t="shared" si="4"/>
        <v>25.768</v>
      </c>
      <c r="H96" s="19">
        <f t="shared" si="5"/>
        <v>51.628</v>
      </c>
      <c r="I96" s="19" t="s">
        <v>10</v>
      </c>
    </row>
    <row r="97" s="1" customFormat="1" ht="31" customHeight="1" spans="1:9">
      <c r="A97" s="16">
        <v>95</v>
      </c>
      <c r="B97" s="16" t="str">
        <f>"15001010106"</f>
        <v>15001010106</v>
      </c>
      <c r="C97" s="16" t="str">
        <f>"李濮江"</f>
        <v>李濮江</v>
      </c>
      <c r="D97" s="16">
        <f>VLOOKUP(B97,'[1]01-伊旗籍男岗'!$C$3:$E$127,3,FALSE)</f>
        <v>42.5</v>
      </c>
      <c r="E97" s="17">
        <f t="shared" si="3"/>
        <v>25.5</v>
      </c>
      <c r="F97" s="17">
        <v>64.37</v>
      </c>
      <c r="G97" s="17">
        <f t="shared" si="4"/>
        <v>25.748</v>
      </c>
      <c r="H97" s="17">
        <f t="shared" si="5"/>
        <v>51.248</v>
      </c>
      <c r="I97" s="17" t="s">
        <v>10</v>
      </c>
    </row>
    <row r="98" s="1" customFormat="1" ht="31" customHeight="1" spans="1:9">
      <c r="A98" s="18">
        <v>96</v>
      </c>
      <c r="B98" s="18" t="str">
        <f>"15001010521"</f>
        <v>15001010521</v>
      </c>
      <c r="C98" s="18" t="str">
        <f>"杨宇"</f>
        <v>杨宇</v>
      </c>
      <c r="D98" s="18">
        <f>VLOOKUP(B98,'[1]01-伊旗籍男岗'!$C$3:$E$127,3,FALSE)</f>
        <v>41.2</v>
      </c>
      <c r="E98" s="19">
        <f t="shared" si="3"/>
        <v>24.72</v>
      </c>
      <c r="F98" s="19">
        <v>66.02</v>
      </c>
      <c r="G98" s="19">
        <f t="shared" si="4"/>
        <v>26.408</v>
      </c>
      <c r="H98" s="19">
        <f t="shared" si="5"/>
        <v>51.128</v>
      </c>
      <c r="I98" s="19" t="s">
        <v>11</v>
      </c>
    </row>
    <row r="99" s="1" customFormat="1" ht="31" customHeight="1" spans="1:9">
      <c r="A99" s="16">
        <v>97</v>
      </c>
      <c r="B99" s="16" t="str">
        <f>"15001010214"</f>
        <v>15001010214</v>
      </c>
      <c r="C99" s="16" t="str">
        <f>"杨富宏"</f>
        <v>杨富宏</v>
      </c>
      <c r="D99" s="16">
        <f>VLOOKUP(B99,'[1]01-伊旗籍男岗'!$C$3:$E$127,3,FALSE)</f>
        <v>42.7</v>
      </c>
      <c r="E99" s="17">
        <f t="shared" si="3"/>
        <v>25.62</v>
      </c>
      <c r="F99" s="17">
        <v>62.89</v>
      </c>
      <c r="G99" s="17">
        <f t="shared" si="4"/>
        <v>25.156</v>
      </c>
      <c r="H99" s="17">
        <f t="shared" si="5"/>
        <v>50.776</v>
      </c>
      <c r="I99" s="17" t="s">
        <v>11</v>
      </c>
    </row>
    <row r="100" s="1" customFormat="1" ht="31" customHeight="1" spans="1:9">
      <c r="A100" s="18">
        <v>98</v>
      </c>
      <c r="B100" s="18" t="str">
        <f>"15001010609"</f>
        <v>15001010609</v>
      </c>
      <c r="C100" s="18" t="str">
        <f>"郝瑞"</f>
        <v>郝瑞</v>
      </c>
      <c r="D100" s="18">
        <f>VLOOKUP(B100,'[1]01-伊旗籍男岗'!$C$3:$E$127,3,FALSE)</f>
        <v>38.2</v>
      </c>
      <c r="E100" s="19">
        <f t="shared" si="3"/>
        <v>22.92</v>
      </c>
      <c r="F100" s="19">
        <v>69.31</v>
      </c>
      <c r="G100" s="19">
        <f t="shared" si="4"/>
        <v>27.724</v>
      </c>
      <c r="H100" s="19">
        <f t="shared" si="5"/>
        <v>50.644</v>
      </c>
      <c r="I100" s="19" t="s">
        <v>11</v>
      </c>
    </row>
    <row r="101" s="1" customFormat="1" ht="31" customHeight="1" spans="1:9">
      <c r="A101" s="16">
        <v>99</v>
      </c>
      <c r="B101" s="16" t="str">
        <f>"15001010101"</f>
        <v>15001010101</v>
      </c>
      <c r="C101" s="16" t="str">
        <f>"孙鹏"</f>
        <v>孙鹏</v>
      </c>
      <c r="D101" s="16">
        <f>VLOOKUP(B101,'[1]01-伊旗籍男岗'!$C$3:$E$127,3,FALSE)</f>
        <v>39.4</v>
      </c>
      <c r="E101" s="17">
        <f t="shared" si="3"/>
        <v>23.64</v>
      </c>
      <c r="F101" s="17">
        <v>67.296</v>
      </c>
      <c r="G101" s="17">
        <f t="shared" si="4"/>
        <v>26.9184</v>
      </c>
      <c r="H101" s="17">
        <f t="shared" si="5"/>
        <v>50.5584</v>
      </c>
      <c r="I101" s="17" t="s">
        <v>11</v>
      </c>
    </row>
    <row r="102" s="1" customFormat="1" ht="31" customHeight="1" spans="1:9">
      <c r="A102" s="18">
        <v>100</v>
      </c>
      <c r="B102" s="18" t="str">
        <f>"15001011005"</f>
        <v>15001011005</v>
      </c>
      <c r="C102" s="18" t="str">
        <f>"王俊"</f>
        <v>王俊</v>
      </c>
      <c r="D102" s="18">
        <f>VLOOKUP(B102,'[1]01-伊旗籍男岗'!$C$3:$E$127,3,FALSE)</f>
        <v>42.1</v>
      </c>
      <c r="E102" s="19">
        <f t="shared" si="3"/>
        <v>25.26</v>
      </c>
      <c r="F102" s="19">
        <v>62.94</v>
      </c>
      <c r="G102" s="19">
        <f t="shared" si="4"/>
        <v>25.176</v>
      </c>
      <c r="H102" s="19">
        <f t="shared" si="5"/>
        <v>50.436</v>
      </c>
      <c r="I102" s="19" t="s">
        <v>11</v>
      </c>
    </row>
    <row r="103" s="1" customFormat="1" ht="31" customHeight="1" spans="1:9">
      <c r="A103" s="16">
        <v>101</v>
      </c>
      <c r="B103" s="16" t="str">
        <f>"15001010519"</f>
        <v>15001010519</v>
      </c>
      <c r="C103" s="16" t="str">
        <f>"燕磊磊"</f>
        <v>燕磊磊</v>
      </c>
      <c r="D103" s="16">
        <f>VLOOKUP(B103,'[1]01-伊旗籍男岗'!$C$3:$E$127,3,FALSE)</f>
        <v>37.2</v>
      </c>
      <c r="E103" s="17">
        <f t="shared" si="3"/>
        <v>22.32</v>
      </c>
      <c r="F103" s="17">
        <v>70.112</v>
      </c>
      <c r="G103" s="17">
        <f t="shared" si="4"/>
        <v>28.0448</v>
      </c>
      <c r="H103" s="17">
        <f t="shared" si="5"/>
        <v>50.3648</v>
      </c>
      <c r="I103" s="17" t="s">
        <v>11</v>
      </c>
    </row>
    <row r="104" s="1" customFormat="1" ht="31" customHeight="1" spans="1:9">
      <c r="A104" s="18">
        <v>102</v>
      </c>
      <c r="B104" s="18" t="str">
        <f>"15001011102"</f>
        <v>15001011102</v>
      </c>
      <c r="C104" s="18" t="str">
        <f>"郭浩"</f>
        <v>郭浩</v>
      </c>
      <c r="D104" s="18">
        <f>VLOOKUP(B104,'[1]01-伊旗籍男岗'!$C$3:$E$127,3,FALSE)</f>
        <v>47</v>
      </c>
      <c r="E104" s="19">
        <f t="shared" si="3"/>
        <v>28.2</v>
      </c>
      <c r="F104" s="19">
        <v>55.4</v>
      </c>
      <c r="G104" s="19">
        <f t="shared" si="4"/>
        <v>22.16</v>
      </c>
      <c r="H104" s="19">
        <f t="shared" si="5"/>
        <v>50.36</v>
      </c>
      <c r="I104" s="19" t="s">
        <v>11</v>
      </c>
    </row>
    <row r="105" s="1" customFormat="1" ht="31" customHeight="1" spans="1:9">
      <c r="A105" s="16">
        <v>103</v>
      </c>
      <c r="B105" s="16" t="str">
        <f>"15001010607"</f>
        <v>15001010607</v>
      </c>
      <c r="C105" s="16" t="str">
        <f>"王亮"</f>
        <v>王亮</v>
      </c>
      <c r="D105" s="16">
        <f>VLOOKUP(B105,'[1]01-伊旗籍男岗'!$C$3:$E$127,3,FALSE)</f>
        <v>40.4</v>
      </c>
      <c r="E105" s="17">
        <f t="shared" si="3"/>
        <v>24.24</v>
      </c>
      <c r="F105" s="17">
        <v>65.2</v>
      </c>
      <c r="G105" s="17">
        <f t="shared" si="4"/>
        <v>26.08</v>
      </c>
      <c r="H105" s="17">
        <f t="shared" si="5"/>
        <v>50.32</v>
      </c>
      <c r="I105" s="17" t="s">
        <v>11</v>
      </c>
    </row>
    <row r="106" s="1" customFormat="1" ht="31" customHeight="1" spans="1:9">
      <c r="A106" s="18">
        <v>104</v>
      </c>
      <c r="B106" s="18" t="str">
        <f>"15001010921"</f>
        <v>15001010921</v>
      </c>
      <c r="C106" s="18" t="str">
        <f>"苏雅拉"</f>
        <v>苏雅拉</v>
      </c>
      <c r="D106" s="18">
        <f>VLOOKUP(B106,'[1]01-伊旗籍男岗'!$C$3:$E$127,3,FALSE)</f>
        <v>38.7</v>
      </c>
      <c r="E106" s="19">
        <f t="shared" si="3"/>
        <v>23.22</v>
      </c>
      <c r="F106" s="19">
        <v>67.542</v>
      </c>
      <c r="G106" s="19">
        <f t="shared" si="4"/>
        <v>27.0168</v>
      </c>
      <c r="H106" s="19">
        <f t="shared" si="5"/>
        <v>50.2368</v>
      </c>
      <c r="I106" s="19" t="s">
        <v>11</v>
      </c>
    </row>
    <row r="107" s="1" customFormat="1" ht="31" customHeight="1" spans="1:9">
      <c r="A107" s="16">
        <v>105</v>
      </c>
      <c r="B107" s="16" t="str">
        <f>"15001010430"</f>
        <v>15001010430</v>
      </c>
      <c r="C107" s="16" t="str">
        <f>"白啸岳"</f>
        <v>白啸岳</v>
      </c>
      <c r="D107" s="16">
        <f>VLOOKUP(B107,'[1]01-伊旗籍男岗'!$C$3:$E$127,3,FALSE)</f>
        <v>38.2</v>
      </c>
      <c r="E107" s="17">
        <f t="shared" si="3"/>
        <v>22.92</v>
      </c>
      <c r="F107" s="17">
        <v>66.88</v>
      </c>
      <c r="G107" s="17">
        <f t="shared" si="4"/>
        <v>26.752</v>
      </c>
      <c r="H107" s="17">
        <f t="shared" si="5"/>
        <v>49.672</v>
      </c>
      <c r="I107" s="17" t="s">
        <v>11</v>
      </c>
    </row>
    <row r="108" s="1" customFormat="1" ht="31" customHeight="1" spans="1:9">
      <c r="A108" s="18">
        <v>106</v>
      </c>
      <c r="B108" s="18" t="str">
        <f>"15001010115"</f>
        <v>15001010115</v>
      </c>
      <c r="C108" s="18" t="str">
        <f>"曾波"</f>
        <v>曾波</v>
      </c>
      <c r="D108" s="18">
        <f>VLOOKUP(B108,'[1]01-伊旗籍男岗'!$C$3:$E$127,3,FALSE)</f>
        <v>40.2</v>
      </c>
      <c r="E108" s="19">
        <f t="shared" si="3"/>
        <v>24.12</v>
      </c>
      <c r="F108" s="19">
        <v>63.16</v>
      </c>
      <c r="G108" s="19">
        <f t="shared" si="4"/>
        <v>25.264</v>
      </c>
      <c r="H108" s="19">
        <f t="shared" si="5"/>
        <v>49.384</v>
      </c>
      <c r="I108" s="19" t="s">
        <v>11</v>
      </c>
    </row>
    <row r="109" s="1" customFormat="1" ht="31" customHeight="1" spans="1:9">
      <c r="A109" s="16">
        <v>107</v>
      </c>
      <c r="B109" s="16" t="str">
        <f>"15001010522"</f>
        <v>15001010522</v>
      </c>
      <c r="C109" s="16" t="str">
        <f>"王璐"</f>
        <v>王璐</v>
      </c>
      <c r="D109" s="16">
        <f>VLOOKUP(B109,'[1]01-伊旗籍男岗'!$C$3:$E$127,3,FALSE)</f>
        <v>41.5</v>
      </c>
      <c r="E109" s="17">
        <f t="shared" si="3"/>
        <v>24.9</v>
      </c>
      <c r="F109" s="17">
        <v>61.1</v>
      </c>
      <c r="G109" s="17">
        <f t="shared" si="4"/>
        <v>24.44</v>
      </c>
      <c r="H109" s="17">
        <f t="shared" si="5"/>
        <v>49.34</v>
      </c>
      <c r="I109" s="17" t="s">
        <v>11</v>
      </c>
    </row>
    <row r="110" s="1" customFormat="1" ht="31" customHeight="1" spans="1:9">
      <c r="A110" s="18">
        <v>108</v>
      </c>
      <c r="B110" s="18" t="str">
        <f>"15001010211"</f>
        <v>15001010211</v>
      </c>
      <c r="C110" s="18" t="str">
        <f>"赵智"</f>
        <v>赵智</v>
      </c>
      <c r="D110" s="18">
        <f>VLOOKUP(B110,'[1]01-伊旗籍男岗'!$C$3:$E$127,3,FALSE)</f>
        <v>37.7</v>
      </c>
      <c r="E110" s="19">
        <f t="shared" si="3"/>
        <v>22.62</v>
      </c>
      <c r="F110" s="19">
        <v>66.5</v>
      </c>
      <c r="G110" s="19">
        <f t="shared" si="4"/>
        <v>26.6</v>
      </c>
      <c r="H110" s="19">
        <f t="shared" si="5"/>
        <v>49.22</v>
      </c>
      <c r="I110" s="19" t="s">
        <v>11</v>
      </c>
    </row>
    <row r="111" s="1" customFormat="1" ht="31" customHeight="1" spans="1:9">
      <c r="A111" s="16">
        <v>109</v>
      </c>
      <c r="B111" s="16" t="str">
        <f>"15001010309"</f>
        <v>15001010309</v>
      </c>
      <c r="C111" s="16" t="str">
        <f>"党延旭"</f>
        <v>党延旭</v>
      </c>
      <c r="D111" s="16">
        <f>VLOOKUP(B111,'[1]01-伊旗籍男岗'!$C$3:$E$127,3,FALSE)</f>
        <v>38.8</v>
      </c>
      <c r="E111" s="17">
        <f t="shared" si="3"/>
        <v>23.28</v>
      </c>
      <c r="F111" s="17">
        <v>64.82</v>
      </c>
      <c r="G111" s="17">
        <f t="shared" si="4"/>
        <v>25.928</v>
      </c>
      <c r="H111" s="17">
        <f t="shared" si="5"/>
        <v>49.208</v>
      </c>
      <c r="I111" s="17" t="s">
        <v>11</v>
      </c>
    </row>
    <row r="112" s="1" customFormat="1" ht="31" customHeight="1" spans="1:9">
      <c r="A112" s="18">
        <v>110</v>
      </c>
      <c r="B112" s="18" t="str">
        <f>"15001013801"</f>
        <v>15001013801</v>
      </c>
      <c r="C112" s="18" t="str">
        <f>"鄂乐布格"</f>
        <v>鄂乐布格</v>
      </c>
      <c r="D112" s="18">
        <f>VLOOKUP(B112,'[1]01-伊旗籍男岗'!$C$3:$E$127,3,FALSE)</f>
        <v>38.1</v>
      </c>
      <c r="E112" s="19">
        <f t="shared" si="3"/>
        <v>22.86</v>
      </c>
      <c r="F112" s="19">
        <v>65.72</v>
      </c>
      <c r="G112" s="19">
        <f t="shared" si="4"/>
        <v>26.288</v>
      </c>
      <c r="H112" s="19">
        <f t="shared" si="5"/>
        <v>49.148</v>
      </c>
      <c r="I112" s="19" t="s">
        <v>11</v>
      </c>
    </row>
    <row r="113" s="1" customFormat="1" ht="31" customHeight="1" spans="1:9">
      <c r="A113" s="16">
        <v>111</v>
      </c>
      <c r="B113" s="16" t="str">
        <f>"15001010623"</f>
        <v>15001010623</v>
      </c>
      <c r="C113" s="16" t="str">
        <f>"杨军"</f>
        <v>杨军</v>
      </c>
      <c r="D113" s="16">
        <f>VLOOKUP(B113,'[1]01-伊旗籍男岗'!$C$3:$E$127,3,FALSE)</f>
        <v>37.9</v>
      </c>
      <c r="E113" s="17">
        <f t="shared" si="3"/>
        <v>22.74</v>
      </c>
      <c r="F113" s="17">
        <v>64.2</v>
      </c>
      <c r="G113" s="17">
        <f t="shared" si="4"/>
        <v>25.68</v>
      </c>
      <c r="H113" s="17">
        <f t="shared" si="5"/>
        <v>48.42</v>
      </c>
      <c r="I113" s="17" t="s">
        <v>11</v>
      </c>
    </row>
    <row r="114" s="1" customFormat="1" ht="31" customHeight="1" spans="1:9">
      <c r="A114" s="18">
        <v>112</v>
      </c>
      <c r="B114" s="18" t="str">
        <f>"15001010212"</f>
        <v>15001010212</v>
      </c>
      <c r="C114" s="18" t="str">
        <f>"额尔德尼"</f>
        <v>额尔德尼</v>
      </c>
      <c r="D114" s="18">
        <f>VLOOKUP(B114,'[1]01-伊旗籍男岗'!$C$3:$E$127,3,FALSE)</f>
        <v>38.5</v>
      </c>
      <c r="E114" s="19">
        <f t="shared" si="3"/>
        <v>23.1</v>
      </c>
      <c r="F114" s="19">
        <v>63.24</v>
      </c>
      <c r="G114" s="19">
        <f t="shared" si="4"/>
        <v>25.296</v>
      </c>
      <c r="H114" s="19">
        <f t="shared" si="5"/>
        <v>48.396</v>
      </c>
      <c r="I114" s="19" t="s">
        <v>11</v>
      </c>
    </row>
    <row r="115" s="1" customFormat="1" ht="31" customHeight="1" spans="1:9">
      <c r="A115" s="16">
        <v>113</v>
      </c>
      <c r="B115" s="16" t="str">
        <f>"15001010413"</f>
        <v>15001010413</v>
      </c>
      <c r="C115" s="16" t="str">
        <f>"王新"</f>
        <v>王新</v>
      </c>
      <c r="D115" s="16">
        <f>VLOOKUP(B115,'[1]01-伊旗籍男岗'!$C$3:$E$127,3,FALSE)</f>
        <v>38.7</v>
      </c>
      <c r="E115" s="17">
        <f t="shared" si="3"/>
        <v>23.22</v>
      </c>
      <c r="F115" s="17">
        <v>62.7</v>
      </c>
      <c r="G115" s="17">
        <f t="shared" si="4"/>
        <v>25.08</v>
      </c>
      <c r="H115" s="17">
        <f t="shared" si="5"/>
        <v>48.3</v>
      </c>
      <c r="I115" s="17" t="s">
        <v>11</v>
      </c>
    </row>
    <row r="116" s="1" customFormat="1" ht="31" customHeight="1" spans="1:9">
      <c r="A116" s="18">
        <v>114</v>
      </c>
      <c r="B116" s="18" t="str">
        <f>"15001011405"</f>
        <v>15001011405</v>
      </c>
      <c r="C116" s="18" t="str">
        <f>"海日图"</f>
        <v>海日图</v>
      </c>
      <c r="D116" s="18">
        <f>VLOOKUP(B116,'[1]01-伊旗籍男岗'!$C$3:$E$127,3,FALSE)</f>
        <v>40.2</v>
      </c>
      <c r="E116" s="19">
        <f t="shared" si="3"/>
        <v>24.12</v>
      </c>
      <c r="F116" s="19">
        <v>59.58</v>
      </c>
      <c r="G116" s="19">
        <f t="shared" si="4"/>
        <v>23.832</v>
      </c>
      <c r="H116" s="19">
        <f t="shared" si="5"/>
        <v>47.952</v>
      </c>
      <c r="I116" s="19" t="s">
        <v>11</v>
      </c>
    </row>
    <row r="117" s="1" customFormat="1" ht="31" customHeight="1" spans="1:9">
      <c r="A117" s="16">
        <v>115</v>
      </c>
      <c r="B117" s="16" t="str">
        <f>"15001010924"</f>
        <v>15001010924</v>
      </c>
      <c r="C117" s="16" t="str">
        <f>"折孝通"</f>
        <v>折孝通</v>
      </c>
      <c r="D117" s="16">
        <f>VLOOKUP(B117,'[1]01-伊旗籍男岗'!$C$3:$E$127,3,FALSE)</f>
        <v>40.9</v>
      </c>
      <c r="E117" s="17">
        <f t="shared" si="3"/>
        <v>24.54</v>
      </c>
      <c r="F117" s="17">
        <v>57.56</v>
      </c>
      <c r="G117" s="17">
        <f t="shared" si="4"/>
        <v>23.024</v>
      </c>
      <c r="H117" s="17">
        <f t="shared" si="5"/>
        <v>47.564</v>
      </c>
      <c r="I117" s="17" t="s">
        <v>11</v>
      </c>
    </row>
    <row r="118" s="1" customFormat="1" ht="31" customHeight="1" spans="1:9">
      <c r="A118" s="18">
        <v>116</v>
      </c>
      <c r="B118" s="18" t="str">
        <f>"15001010518"</f>
        <v>15001010518</v>
      </c>
      <c r="C118" s="18" t="str">
        <f>"郝宇"</f>
        <v>郝宇</v>
      </c>
      <c r="D118" s="18">
        <f>VLOOKUP(B118,'[1]01-伊旗籍男岗'!$C$3:$E$127,3,FALSE)</f>
        <v>38.1</v>
      </c>
      <c r="E118" s="19">
        <f t="shared" si="3"/>
        <v>22.86</v>
      </c>
      <c r="F118" s="19">
        <v>60.86</v>
      </c>
      <c r="G118" s="19">
        <f t="shared" si="4"/>
        <v>24.344</v>
      </c>
      <c r="H118" s="19">
        <f t="shared" si="5"/>
        <v>47.204</v>
      </c>
      <c r="I118" s="19" t="s">
        <v>11</v>
      </c>
    </row>
    <row r="119" s="1" customFormat="1" ht="31" customHeight="1" spans="1:9">
      <c r="A119" s="16">
        <v>117</v>
      </c>
      <c r="B119" s="16" t="str">
        <f>"15001010222"</f>
        <v>15001010222</v>
      </c>
      <c r="C119" s="16" t="str">
        <f>"杜雪峰"</f>
        <v>杜雪峰</v>
      </c>
      <c r="D119" s="16">
        <f>VLOOKUP(B119,'[1]01-伊旗籍男岗'!$C$3:$E$127,3,FALSE)</f>
        <v>36.7</v>
      </c>
      <c r="E119" s="17">
        <f t="shared" si="3"/>
        <v>22.02</v>
      </c>
      <c r="F119" s="17">
        <v>60.36</v>
      </c>
      <c r="G119" s="17">
        <f t="shared" si="4"/>
        <v>24.144</v>
      </c>
      <c r="H119" s="17">
        <f t="shared" si="5"/>
        <v>46.164</v>
      </c>
      <c r="I119" s="17" t="s">
        <v>11</v>
      </c>
    </row>
    <row r="120" s="1" customFormat="1" ht="31" customHeight="1" spans="1:9">
      <c r="A120" s="18">
        <v>118</v>
      </c>
      <c r="B120" s="18" t="str">
        <f>"15001010404"</f>
        <v>15001010404</v>
      </c>
      <c r="C120" s="18" t="str">
        <f>"蒋峰"</f>
        <v>蒋峰</v>
      </c>
      <c r="D120" s="18">
        <f>VLOOKUP(B120,'[1]01-伊旗籍男岗'!$C$3:$E$127,3,FALSE)</f>
        <v>36.5</v>
      </c>
      <c r="E120" s="19">
        <f t="shared" si="3"/>
        <v>21.9</v>
      </c>
      <c r="F120" s="19">
        <v>60.6</v>
      </c>
      <c r="G120" s="19">
        <f t="shared" si="4"/>
        <v>24.24</v>
      </c>
      <c r="H120" s="19">
        <f t="shared" si="5"/>
        <v>46.14</v>
      </c>
      <c r="I120" s="19" t="s">
        <v>11</v>
      </c>
    </row>
    <row r="121" s="1" customFormat="1" ht="31" customHeight="1" spans="1:9">
      <c r="A121" s="16">
        <v>119</v>
      </c>
      <c r="B121" s="16" t="str">
        <f>"15001010708"</f>
        <v>15001010708</v>
      </c>
      <c r="C121" s="16" t="str">
        <f>"董浩"</f>
        <v>董浩</v>
      </c>
      <c r="D121" s="16">
        <f>VLOOKUP(B121,'[1]01-伊旗籍男岗'!$C$3:$E$127,3,FALSE)</f>
        <v>36.1</v>
      </c>
      <c r="E121" s="17">
        <f t="shared" si="3"/>
        <v>21.66</v>
      </c>
      <c r="F121" s="17">
        <v>60.84</v>
      </c>
      <c r="G121" s="17">
        <f t="shared" si="4"/>
        <v>24.336</v>
      </c>
      <c r="H121" s="17">
        <f t="shared" si="5"/>
        <v>45.996</v>
      </c>
      <c r="I121" s="17" t="s">
        <v>11</v>
      </c>
    </row>
    <row r="122" s="1" customFormat="1" ht="31" customHeight="1" spans="1:9">
      <c r="A122" s="18">
        <v>120</v>
      </c>
      <c r="B122" s="18" t="str">
        <f>"15001011004"</f>
        <v>15001011004</v>
      </c>
      <c r="C122" s="18" t="str">
        <f>"张宇龙"</f>
        <v>张宇龙</v>
      </c>
      <c r="D122" s="18">
        <f>VLOOKUP(B122,'[1]01-伊旗籍男岗'!$C$3:$E$127,3,FALSE)</f>
        <v>36.4</v>
      </c>
      <c r="E122" s="19">
        <f t="shared" si="3"/>
        <v>21.84</v>
      </c>
      <c r="F122" s="19">
        <v>60.36</v>
      </c>
      <c r="G122" s="19">
        <f t="shared" si="4"/>
        <v>24.144</v>
      </c>
      <c r="H122" s="19">
        <f t="shared" si="5"/>
        <v>45.984</v>
      </c>
      <c r="I122" s="19" t="s">
        <v>11</v>
      </c>
    </row>
    <row r="123" s="1" customFormat="1" ht="31" customHeight="1" spans="1:9">
      <c r="A123" s="16">
        <v>121</v>
      </c>
      <c r="B123" s="16" t="str">
        <f>"15001010410"</f>
        <v>15001010410</v>
      </c>
      <c r="C123" s="16" t="str">
        <f>"李昊泽"</f>
        <v>李昊泽</v>
      </c>
      <c r="D123" s="16">
        <f>VLOOKUP(B123,'[1]01-伊旗籍男岗'!$C$3:$E$127,3,FALSE)</f>
        <v>37.7</v>
      </c>
      <c r="E123" s="17">
        <f t="shared" si="3"/>
        <v>22.62</v>
      </c>
      <c r="F123" s="17">
        <v>55.09</v>
      </c>
      <c r="G123" s="17">
        <f t="shared" si="4"/>
        <v>22.036</v>
      </c>
      <c r="H123" s="17">
        <f t="shared" si="5"/>
        <v>44.656</v>
      </c>
      <c r="I123" s="17" t="s">
        <v>11</v>
      </c>
    </row>
    <row r="124" s="1" customFormat="1" ht="31" customHeight="1" spans="1:9">
      <c r="A124" s="18">
        <v>122</v>
      </c>
      <c r="B124" s="18" t="str">
        <f>"15001011224"</f>
        <v>15001011224</v>
      </c>
      <c r="C124" s="18" t="str">
        <f>"张小平"</f>
        <v>张小平</v>
      </c>
      <c r="D124" s="18">
        <f>VLOOKUP(B124,'[1]01-伊旗籍男岗'!$C$3:$E$127,3,FALSE)</f>
        <v>44.1</v>
      </c>
      <c r="E124" s="19">
        <f t="shared" si="3"/>
        <v>26.46</v>
      </c>
      <c r="F124" s="19">
        <v>42.12</v>
      </c>
      <c r="G124" s="19">
        <f t="shared" si="4"/>
        <v>16.848</v>
      </c>
      <c r="H124" s="19">
        <f t="shared" si="5"/>
        <v>43.308</v>
      </c>
      <c r="I124" s="19" t="s">
        <v>11</v>
      </c>
    </row>
    <row r="125" s="1" customFormat="1" ht="31" customHeight="1" spans="1:9">
      <c r="A125" s="16">
        <v>123</v>
      </c>
      <c r="B125" s="16" t="str">
        <f>"15001011128"</f>
        <v>15001011128</v>
      </c>
      <c r="C125" s="16" t="str">
        <f>"奇额尔德尼"</f>
        <v>奇额尔德尼</v>
      </c>
      <c r="D125" s="16">
        <f>VLOOKUP(B125,'[1]01-伊旗籍男岗'!$C$3:$E$127,3,FALSE)</f>
        <v>38.4</v>
      </c>
      <c r="E125" s="17">
        <f t="shared" si="3"/>
        <v>23.04</v>
      </c>
      <c r="F125" s="17">
        <v>43.96</v>
      </c>
      <c r="G125" s="17">
        <f t="shared" si="4"/>
        <v>17.584</v>
      </c>
      <c r="H125" s="17">
        <f t="shared" si="5"/>
        <v>40.624</v>
      </c>
      <c r="I125" s="17" t="s">
        <v>11</v>
      </c>
    </row>
    <row r="126" s="1" customFormat="1" ht="31" customHeight="1" spans="1:9">
      <c r="A126" s="18">
        <v>124</v>
      </c>
      <c r="B126" s="18" t="str">
        <f>"15001011427"</f>
        <v>15001011427</v>
      </c>
      <c r="C126" s="18" t="str">
        <f>"苏凯勃"</f>
        <v>苏凯勃</v>
      </c>
      <c r="D126" s="18">
        <f>VLOOKUP(B126,'[1]01-伊旗籍男岗'!$C$3:$E$127,3,FALSE)</f>
        <v>37.1</v>
      </c>
      <c r="E126" s="19">
        <f t="shared" si="3"/>
        <v>22.26</v>
      </c>
      <c r="F126" s="19">
        <v>43.09</v>
      </c>
      <c r="G126" s="19">
        <f t="shared" si="4"/>
        <v>17.236</v>
      </c>
      <c r="H126" s="19">
        <f t="shared" si="5"/>
        <v>39.496</v>
      </c>
      <c r="I126" s="19" t="s">
        <v>11</v>
      </c>
    </row>
    <row r="127" s="1" customFormat="1" ht="31" customHeight="1" spans="1:9">
      <c r="A127" s="16">
        <v>125</v>
      </c>
      <c r="B127" s="16" t="str">
        <f>"15001010615"</f>
        <v>15001010615</v>
      </c>
      <c r="C127" s="16" t="str">
        <f>"张建平"</f>
        <v>张建平</v>
      </c>
      <c r="D127" s="16">
        <f>VLOOKUP(B127,'[1]01-伊旗籍男岗'!$C$3:$E$127,3,FALSE)</f>
        <v>49.5</v>
      </c>
      <c r="E127" s="17">
        <f t="shared" si="3"/>
        <v>29.7</v>
      </c>
      <c r="F127" s="17" t="s">
        <v>12</v>
      </c>
      <c r="G127" s="17" t="s">
        <v>12</v>
      </c>
      <c r="H127" s="17">
        <v>29.7</v>
      </c>
      <c r="I127" s="17" t="s">
        <v>11</v>
      </c>
    </row>
  </sheetData>
  <sortState ref="A2:I126">
    <sortCondition ref="H2:H126" descending="1"/>
  </sortState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workbookViewId="0">
      <selection activeCell="E5" sqref="E5"/>
    </sheetView>
  </sheetViews>
  <sheetFormatPr defaultColWidth="9" defaultRowHeight="15" customHeight="1"/>
  <cols>
    <col min="1" max="1" width="5.55833333333333" style="2"/>
    <col min="2" max="2" width="21" style="2" customWidth="1"/>
    <col min="3" max="3" width="18.75" style="2" customWidth="1"/>
    <col min="4" max="4" width="21.375" style="1" customWidth="1"/>
    <col min="5" max="5" width="19.5" style="12" customWidth="1"/>
    <col min="6" max="6" width="13.875" style="12" customWidth="1"/>
    <col min="7" max="7" width="19.5" style="12" customWidth="1"/>
    <col min="8" max="8" width="13.875" style="12" customWidth="1"/>
    <col min="9" max="9" width="16.5" style="12" customWidth="1"/>
    <col min="10" max="16384" width="9" style="1"/>
  </cols>
  <sheetData>
    <row r="1" s="1" customFormat="1" ht="32" customHeight="1" spans="1:9">
      <c r="A1" s="4" t="s">
        <v>13</v>
      </c>
      <c r="B1" s="4"/>
      <c r="C1" s="4"/>
      <c r="D1" s="4"/>
      <c r="E1" s="4"/>
      <c r="F1" s="4"/>
      <c r="G1" s="4"/>
      <c r="H1" s="4"/>
      <c r="I1" s="4"/>
    </row>
    <row r="2" s="11" customFormat="1" ht="3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1" customFormat="1" ht="31" customHeight="1" spans="1:9">
      <c r="A3" s="7">
        <v>1</v>
      </c>
      <c r="B3" s="7" t="str">
        <f>"15002021112"</f>
        <v>15002021112</v>
      </c>
      <c r="C3" s="7" t="str">
        <f>"越慧"</f>
        <v>越慧</v>
      </c>
      <c r="D3" s="7">
        <f>VLOOKUP(B3,'[1]02-伊旗籍女岗'!$C$3:$E$73,3,FALSE)</f>
        <v>68.2</v>
      </c>
      <c r="E3" s="8">
        <f t="shared" ref="E3:E48" si="0">D3*0.6</f>
        <v>40.92</v>
      </c>
      <c r="F3" s="13">
        <v>69.22</v>
      </c>
      <c r="G3" s="8">
        <f t="shared" ref="G3:G48" si="1">F3*0.4</f>
        <v>27.688</v>
      </c>
      <c r="H3" s="8">
        <f t="shared" ref="H3:H48" si="2">E3+G3</f>
        <v>68.608</v>
      </c>
      <c r="I3" s="8" t="s">
        <v>10</v>
      </c>
    </row>
    <row r="4" s="11" customFormat="1" ht="31" customHeight="1" spans="1:9">
      <c r="A4" s="9">
        <v>2</v>
      </c>
      <c r="B4" s="9" t="str">
        <f>"15002020620"</f>
        <v>15002020620</v>
      </c>
      <c r="C4" s="9" t="str">
        <f>"边冉"</f>
        <v>边冉</v>
      </c>
      <c r="D4" s="9">
        <f>VLOOKUP(B4,'[1]02-伊旗籍女岗'!$C$3:$E$73,3,FALSE)</f>
        <v>66</v>
      </c>
      <c r="E4" s="10">
        <f t="shared" si="0"/>
        <v>39.6</v>
      </c>
      <c r="F4" s="14">
        <v>70.6</v>
      </c>
      <c r="G4" s="10">
        <f t="shared" si="1"/>
        <v>28.24</v>
      </c>
      <c r="H4" s="10">
        <f t="shared" si="2"/>
        <v>67.84</v>
      </c>
      <c r="I4" s="10" t="s">
        <v>10</v>
      </c>
    </row>
    <row r="5" s="11" customFormat="1" ht="31" customHeight="1" spans="1:9">
      <c r="A5" s="7">
        <v>3</v>
      </c>
      <c r="B5" s="7" t="str">
        <f>"15002020721"</f>
        <v>15002020721</v>
      </c>
      <c r="C5" s="7" t="str">
        <f>"魏凯"</f>
        <v>魏凯</v>
      </c>
      <c r="D5" s="7">
        <f>VLOOKUP(B5,'[1]02-伊旗籍女岗'!$C$3:$E$73,3,FALSE)</f>
        <v>64</v>
      </c>
      <c r="E5" s="8">
        <f t="shared" si="0"/>
        <v>38.4</v>
      </c>
      <c r="F5" s="13">
        <v>73.58</v>
      </c>
      <c r="G5" s="8">
        <f t="shared" si="1"/>
        <v>29.432</v>
      </c>
      <c r="H5" s="8">
        <f t="shared" si="2"/>
        <v>67.832</v>
      </c>
      <c r="I5" s="8" t="s">
        <v>10</v>
      </c>
    </row>
    <row r="6" s="11" customFormat="1" ht="31" customHeight="1" spans="1:9">
      <c r="A6" s="9">
        <v>4</v>
      </c>
      <c r="B6" s="9" t="str">
        <f>"15002020113"</f>
        <v>15002020113</v>
      </c>
      <c r="C6" s="9" t="str">
        <f>"杨慧"</f>
        <v>杨慧</v>
      </c>
      <c r="D6" s="9">
        <f>VLOOKUP(B6,'[1]02-伊旗籍女岗'!$C$3:$E$73,3,FALSE)</f>
        <v>63.6</v>
      </c>
      <c r="E6" s="10">
        <f t="shared" si="0"/>
        <v>38.16</v>
      </c>
      <c r="F6" s="14">
        <v>72.86</v>
      </c>
      <c r="G6" s="10">
        <f t="shared" si="1"/>
        <v>29.144</v>
      </c>
      <c r="H6" s="10">
        <f t="shared" si="2"/>
        <v>67.304</v>
      </c>
      <c r="I6" s="10" t="s">
        <v>10</v>
      </c>
    </row>
    <row r="7" s="11" customFormat="1" ht="31" customHeight="1" spans="1:9">
      <c r="A7" s="7">
        <v>5</v>
      </c>
      <c r="B7" s="7" t="str">
        <f>"15002021415"</f>
        <v>15002021415</v>
      </c>
      <c r="C7" s="7" t="str">
        <f>"吴昊月"</f>
        <v>吴昊月</v>
      </c>
      <c r="D7" s="7">
        <f>VLOOKUP(B7,'[1]02-伊旗籍女岗'!$C$3:$E$73,3,FALSE)</f>
        <v>62.2</v>
      </c>
      <c r="E7" s="8">
        <f t="shared" si="0"/>
        <v>37.32</v>
      </c>
      <c r="F7" s="13">
        <v>74.84</v>
      </c>
      <c r="G7" s="8">
        <f t="shared" si="1"/>
        <v>29.936</v>
      </c>
      <c r="H7" s="8">
        <f t="shared" si="2"/>
        <v>67.256</v>
      </c>
      <c r="I7" s="8" t="s">
        <v>10</v>
      </c>
    </row>
    <row r="8" s="11" customFormat="1" ht="31" customHeight="1" spans="1:9">
      <c r="A8" s="9">
        <v>6</v>
      </c>
      <c r="B8" s="9" t="str">
        <f>"15002021011"</f>
        <v>15002021011</v>
      </c>
      <c r="C8" s="9" t="str">
        <f>"郭海芳"</f>
        <v>郭海芳</v>
      </c>
      <c r="D8" s="9">
        <f>VLOOKUP(B8,'[1]02-伊旗籍女岗'!$C$3:$E$73,3,FALSE)</f>
        <v>62.2</v>
      </c>
      <c r="E8" s="10">
        <f t="shared" si="0"/>
        <v>37.32</v>
      </c>
      <c r="F8" s="14">
        <v>73.88</v>
      </c>
      <c r="G8" s="10">
        <f t="shared" si="1"/>
        <v>29.552</v>
      </c>
      <c r="H8" s="10">
        <f t="shared" si="2"/>
        <v>66.872</v>
      </c>
      <c r="I8" s="10" t="s">
        <v>10</v>
      </c>
    </row>
    <row r="9" s="11" customFormat="1" ht="31" customHeight="1" spans="1:9">
      <c r="A9" s="7">
        <v>7</v>
      </c>
      <c r="B9" s="7" t="str">
        <f>"15002020227"</f>
        <v>15002020227</v>
      </c>
      <c r="C9" s="7" t="str">
        <f>"刘岳熙"</f>
        <v>刘岳熙</v>
      </c>
      <c r="D9" s="7">
        <f>VLOOKUP(B9,'[1]02-伊旗籍女岗'!$C$3:$E$73,3,FALSE)</f>
        <v>63.2</v>
      </c>
      <c r="E9" s="8">
        <f t="shared" si="0"/>
        <v>37.92</v>
      </c>
      <c r="F9" s="13">
        <v>72.24</v>
      </c>
      <c r="G9" s="8">
        <f t="shared" si="1"/>
        <v>28.896</v>
      </c>
      <c r="H9" s="8">
        <f t="shared" si="2"/>
        <v>66.816</v>
      </c>
      <c r="I9" s="8" t="s">
        <v>10</v>
      </c>
    </row>
    <row r="10" s="11" customFormat="1" ht="31" customHeight="1" spans="1:9">
      <c r="A10" s="9">
        <v>8</v>
      </c>
      <c r="B10" s="9" t="str">
        <f>"15002020709"</f>
        <v>15002020709</v>
      </c>
      <c r="C10" s="9" t="str">
        <f>"白轲欣"</f>
        <v>白轲欣</v>
      </c>
      <c r="D10" s="9">
        <f>VLOOKUP(B10,'[1]02-伊旗籍女岗'!$C$3:$E$73,3,FALSE)</f>
        <v>61.3</v>
      </c>
      <c r="E10" s="10">
        <f t="shared" si="0"/>
        <v>36.78</v>
      </c>
      <c r="F10" s="14">
        <v>74.44</v>
      </c>
      <c r="G10" s="10">
        <f t="shared" si="1"/>
        <v>29.776</v>
      </c>
      <c r="H10" s="10">
        <f t="shared" si="2"/>
        <v>66.556</v>
      </c>
      <c r="I10" s="10" t="s">
        <v>10</v>
      </c>
    </row>
    <row r="11" s="11" customFormat="1" ht="31" customHeight="1" spans="1:9">
      <c r="A11" s="7">
        <v>9</v>
      </c>
      <c r="B11" s="7" t="str">
        <f>"15002021516"</f>
        <v>15002021516</v>
      </c>
      <c r="C11" s="7" t="str">
        <f>"赵睿婕"</f>
        <v>赵睿婕</v>
      </c>
      <c r="D11" s="7">
        <f>VLOOKUP(B11,'[1]02-伊旗籍女岗'!$C$3:$E$73,3,FALSE)</f>
        <v>62.4</v>
      </c>
      <c r="E11" s="8">
        <f t="shared" si="0"/>
        <v>37.44</v>
      </c>
      <c r="F11" s="13">
        <v>71.52</v>
      </c>
      <c r="G11" s="8">
        <f t="shared" si="1"/>
        <v>28.608</v>
      </c>
      <c r="H11" s="8">
        <f t="shared" si="2"/>
        <v>66.048</v>
      </c>
      <c r="I11" s="8" t="s">
        <v>10</v>
      </c>
    </row>
    <row r="12" s="11" customFormat="1" ht="31" customHeight="1" spans="1:9">
      <c r="A12" s="9">
        <v>10</v>
      </c>
      <c r="B12" s="9" t="str">
        <f>"15002020302"</f>
        <v>15002020302</v>
      </c>
      <c r="C12" s="9" t="str">
        <f>"李静"</f>
        <v>李静</v>
      </c>
      <c r="D12" s="9">
        <f>VLOOKUP(B12,'[1]02-伊旗籍女岗'!$C$3:$E$73,3,FALSE)</f>
        <v>62.2</v>
      </c>
      <c r="E12" s="10">
        <f t="shared" si="0"/>
        <v>37.32</v>
      </c>
      <c r="F12" s="14">
        <v>71.7</v>
      </c>
      <c r="G12" s="10">
        <f t="shared" si="1"/>
        <v>28.68</v>
      </c>
      <c r="H12" s="10">
        <f t="shared" si="2"/>
        <v>66</v>
      </c>
      <c r="I12" s="10" t="s">
        <v>10</v>
      </c>
    </row>
    <row r="13" s="11" customFormat="1" ht="31" customHeight="1" spans="1:9">
      <c r="A13" s="7">
        <v>11</v>
      </c>
      <c r="B13" s="7" t="str">
        <f>"15002021024"</f>
        <v>15002021024</v>
      </c>
      <c r="C13" s="7" t="str">
        <f>"王玉杰"</f>
        <v>王玉杰</v>
      </c>
      <c r="D13" s="7">
        <f>VLOOKUP(B13,'[1]02-伊旗籍女岗'!$C$3:$E$73,3,FALSE)</f>
        <v>64</v>
      </c>
      <c r="E13" s="8">
        <f t="shared" si="0"/>
        <v>38.4</v>
      </c>
      <c r="F13" s="13">
        <v>68.66</v>
      </c>
      <c r="G13" s="8">
        <f t="shared" si="1"/>
        <v>27.464</v>
      </c>
      <c r="H13" s="8">
        <f t="shared" si="2"/>
        <v>65.864</v>
      </c>
      <c r="I13" s="8" t="s">
        <v>10</v>
      </c>
    </row>
    <row r="14" s="11" customFormat="1" ht="31" customHeight="1" spans="1:9">
      <c r="A14" s="9">
        <v>12</v>
      </c>
      <c r="B14" s="9" t="str">
        <f>"15002021105"</f>
        <v>15002021105</v>
      </c>
      <c r="C14" s="9" t="str">
        <f>"乔海艳"</f>
        <v>乔海艳</v>
      </c>
      <c r="D14" s="9">
        <f>VLOOKUP(B14,'[1]02-伊旗籍女岗'!$C$3:$E$73,3,FALSE)</f>
        <v>62.6</v>
      </c>
      <c r="E14" s="10">
        <f t="shared" si="0"/>
        <v>37.56</v>
      </c>
      <c r="F14" s="14">
        <v>70.52</v>
      </c>
      <c r="G14" s="10">
        <f t="shared" si="1"/>
        <v>28.208</v>
      </c>
      <c r="H14" s="10">
        <f t="shared" si="2"/>
        <v>65.768</v>
      </c>
      <c r="I14" s="10" t="s">
        <v>10</v>
      </c>
    </row>
    <row r="15" s="11" customFormat="1" ht="31" customHeight="1" spans="1:9">
      <c r="A15" s="7">
        <v>13</v>
      </c>
      <c r="B15" s="7" t="str">
        <f>"15002020305"</f>
        <v>15002020305</v>
      </c>
      <c r="C15" s="7" t="str">
        <f>"王慧"</f>
        <v>王慧</v>
      </c>
      <c r="D15" s="7">
        <f>VLOOKUP(B15,'[1]02-伊旗籍女岗'!$C$3:$E$73,3,FALSE)</f>
        <v>60.4</v>
      </c>
      <c r="E15" s="8">
        <f t="shared" si="0"/>
        <v>36.24</v>
      </c>
      <c r="F15" s="13">
        <v>73.32</v>
      </c>
      <c r="G15" s="8">
        <f t="shared" si="1"/>
        <v>29.328</v>
      </c>
      <c r="H15" s="8">
        <f t="shared" si="2"/>
        <v>65.568</v>
      </c>
      <c r="I15" s="8" t="s">
        <v>10</v>
      </c>
    </row>
    <row r="16" s="11" customFormat="1" ht="31" customHeight="1" spans="1:9">
      <c r="A16" s="9">
        <v>14</v>
      </c>
      <c r="B16" s="9" t="str">
        <f>"15002020705"</f>
        <v>15002020705</v>
      </c>
      <c r="C16" s="9" t="str">
        <f>"石沛凡"</f>
        <v>石沛凡</v>
      </c>
      <c r="D16" s="9">
        <f>VLOOKUP(B16,'[1]02-伊旗籍女岗'!$C$3:$E$73,3,FALSE)</f>
        <v>62.6</v>
      </c>
      <c r="E16" s="10">
        <f t="shared" si="0"/>
        <v>37.56</v>
      </c>
      <c r="F16" s="14">
        <v>69.88</v>
      </c>
      <c r="G16" s="10">
        <f t="shared" si="1"/>
        <v>27.952</v>
      </c>
      <c r="H16" s="10">
        <f t="shared" si="2"/>
        <v>65.512</v>
      </c>
      <c r="I16" s="10" t="s">
        <v>10</v>
      </c>
    </row>
    <row r="17" s="11" customFormat="1" ht="31" customHeight="1" spans="1:9">
      <c r="A17" s="7">
        <v>15</v>
      </c>
      <c r="B17" s="7" t="str">
        <f>"15002020207"</f>
        <v>15002020207</v>
      </c>
      <c r="C17" s="7" t="str">
        <f>"何雪"</f>
        <v>何雪</v>
      </c>
      <c r="D17" s="7">
        <f>VLOOKUP(B17,'[1]02-伊旗籍女岗'!$C$3:$E$73,3,FALSE)</f>
        <v>60</v>
      </c>
      <c r="E17" s="8">
        <f t="shared" si="0"/>
        <v>36</v>
      </c>
      <c r="F17" s="13">
        <v>73.78</v>
      </c>
      <c r="G17" s="8">
        <f t="shared" si="1"/>
        <v>29.512</v>
      </c>
      <c r="H17" s="8">
        <f t="shared" si="2"/>
        <v>65.512</v>
      </c>
      <c r="I17" s="8" t="s">
        <v>10</v>
      </c>
    </row>
    <row r="18" s="11" customFormat="1" ht="31" customHeight="1" spans="1:9">
      <c r="A18" s="9">
        <v>16</v>
      </c>
      <c r="B18" s="9" t="str">
        <f>"15002020314"</f>
        <v>15002020314</v>
      </c>
      <c r="C18" s="9" t="str">
        <f>"何荣"</f>
        <v>何荣</v>
      </c>
      <c r="D18" s="9">
        <f>VLOOKUP(B18,'[1]02-伊旗籍女岗'!$C$3:$E$73,3,FALSE)</f>
        <v>59.8</v>
      </c>
      <c r="E18" s="10">
        <f t="shared" si="0"/>
        <v>35.88</v>
      </c>
      <c r="F18" s="14">
        <v>74.06</v>
      </c>
      <c r="G18" s="10">
        <f t="shared" si="1"/>
        <v>29.624</v>
      </c>
      <c r="H18" s="10">
        <f t="shared" si="2"/>
        <v>65.504</v>
      </c>
      <c r="I18" s="10" t="s">
        <v>11</v>
      </c>
    </row>
    <row r="19" s="11" customFormat="1" ht="31" customHeight="1" spans="1:9">
      <c r="A19" s="7">
        <v>17</v>
      </c>
      <c r="B19" s="7" t="str">
        <f>"15002021107"</f>
        <v>15002021107</v>
      </c>
      <c r="C19" s="7" t="str">
        <f>"王舒暄"</f>
        <v>王舒暄</v>
      </c>
      <c r="D19" s="7">
        <f>VLOOKUP(B19,'[1]02-伊旗籍女岗'!$C$3:$E$73,3,FALSE)</f>
        <v>59.6</v>
      </c>
      <c r="E19" s="8">
        <f t="shared" si="0"/>
        <v>35.76</v>
      </c>
      <c r="F19" s="13">
        <v>74.16</v>
      </c>
      <c r="G19" s="8">
        <f t="shared" si="1"/>
        <v>29.664</v>
      </c>
      <c r="H19" s="8">
        <f t="shared" si="2"/>
        <v>65.424</v>
      </c>
      <c r="I19" s="8" t="s">
        <v>11</v>
      </c>
    </row>
    <row r="20" s="11" customFormat="1" ht="31" customHeight="1" spans="1:9">
      <c r="A20" s="9">
        <v>18</v>
      </c>
      <c r="B20" s="9" t="str">
        <f>"15002020614"</f>
        <v>15002020614</v>
      </c>
      <c r="C20" s="9" t="str">
        <f>"李璐"</f>
        <v>李璐</v>
      </c>
      <c r="D20" s="9">
        <f>VLOOKUP(B20,'[1]02-伊旗籍女岗'!$C$3:$E$73,3,FALSE)</f>
        <v>59.9</v>
      </c>
      <c r="E20" s="10">
        <f t="shared" si="0"/>
        <v>35.94</v>
      </c>
      <c r="F20" s="14">
        <v>72.76</v>
      </c>
      <c r="G20" s="10">
        <f t="shared" si="1"/>
        <v>29.104</v>
      </c>
      <c r="H20" s="10">
        <f t="shared" si="2"/>
        <v>65.044</v>
      </c>
      <c r="I20" s="10" t="s">
        <v>11</v>
      </c>
    </row>
    <row r="21" s="11" customFormat="1" ht="31" customHeight="1" spans="1:9">
      <c r="A21" s="7">
        <v>19</v>
      </c>
      <c r="B21" s="7" t="str">
        <f>"15002020905"</f>
        <v>15002020905</v>
      </c>
      <c r="C21" s="7" t="str">
        <f>"白彩艳"</f>
        <v>白彩艳</v>
      </c>
      <c r="D21" s="7">
        <f>VLOOKUP(B21,'[1]02-伊旗籍女岗'!$C$3:$E$73,3,FALSE)</f>
        <v>60.1</v>
      </c>
      <c r="E21" s="8">
        <f t="shared" si="0"/>
        <v>36.06</v>
      </c>
      <c r="F21" s="13">
        <v>71.78</v>
      </c>
      <c r="G21" s="8">
        <f t="shared" si="1"/>
        <v>28.712</v>
      </c>
      <c r="H21" s="8">
        <f t="shared" si="2"/>
        <v>64.772</v>
      </c>
      <c r="I21" s="8" t="s">
        <v>11</v>
      </c>
    </row>
    <row r="22" s="11" customFormat="1" ht="31" customHeight="1" spans="1:9">
      <c r="A22" s="9">
        <v>20</v>
      </c>
      <c r="B22" s="9" t="str">
        <f>"15002021106"</f>
        <v>15002021106</v>
      </c>
      <c r="C22" s="9" t="str">
        <f>"谭明凤"</f>
        <v>谭明凤</v>
      </c>
      <c r="D22" s="9">
        <f>VLOOKUP(B22,'[1]02-伊旗籍女岗'!$C$3:$E$73,3,FALSE)</f>
        <v>58.5</v>
      </c>
      <c r="E22" s="10">
        <f t="shared" si="0"/>
        <v>35.1</v>
      </c>
      <c r="F22" s="14">
        <v>73.52</v>
      </c>
      <c r="G22" s="10">
        <f t="shared" si="1"/>
        <v>29.408</v>
      </c>
      <c r="H22" s="10">
        <f t="shared" si="2"/>
        <v>64.508</v>
      </c>
      <c r="I22" s="10" t="s">
        <v>11</v>
      </c>
    </row>
    <row r="23" s="11" customFormat="1" ht="31" customHeight="1" spans="1:9">
      <c r="A23" s="7">
        <v>21</v>
      </c>
      <c r="B23" s="7" t="str">
        <f>"15002020204"</f>
        <v>15002020204</v>
      </c>
      <c r="C23" s="7" t="str">
        <f>"王越欣"</f>
        <v>王越欣</v>
      </c>
      <c r="D23" s="7">
        <f>VLOOKUP(B23,'[1]02-伊旗籍女岗'!$C$3:$E$73,3,FALSE)</f>
        <v>61.2</v>
      </c>
      <c r="E23" s="8">
        <f t="shared" si="0"/>
        <v>36.72</v>
      </c>
      <c r="F23" s="13">
        <v>67.92</v>
      </c>
      <c r="G23" s="8">
        <f t="shared" si="1"/>
        <v>27.168</v>
      </c>
      <c r="H23" s="8">
        <f t="shared" si="2"/>
        <v>63.888</v>
      </c>
      <c r="I23" s="8" t="s">
        <v>11</v>
      </c>
    </row>
    <row r="24" s="11" customFormat="1" ht="31" customHeight="1" spans="1:9">
      <c r="A24" s="9">
        <v>22</v>
      </c>
      <c r="B24" s="9" t="str">
        <f>"15002020324"</f>
        <v>15002020324</v>
      </c>
      <c r="C24" s="9" t="str">
        <f>"张瑞"</f>
        <v>张瑞</v>
      </c>
      <c r="D24" s="9">
        <f>VLOOKUP(B24,'[1]02-伊旗籍女岗'!$C$3:$E$73,3,FALSE)</f>
        <v>57.7</v>
      </c>
      <c r="E24" s="10">
        <f t="shared" si="0"/>
        <v>34.62</v>
      </c>
      <c r="F24" s="14">
        <v>72.68</v>
      </c>
      <c r="G24" s="10">
        <f t="shared" si="1"/>
        <v>29.072</v>
      </c>
      <c r="H24" s="10">
        <f t="shared" si="2"/>
        <v>63.692</v>
      </c>
      <c r="I24" s="10" t="s">
        <v>11</v>
      </c>
    </row>
    <row r="25" s="11" customFormat="1" ht="31" customHeight="1" spans="1:9">
      <c r="A25" s="7">
        <v>23</v>
      </c>
      <c r="B25" s="7" t="str">
        <f>"15002020529"</f>
        <v>15002020529</v>
      </c>
      <c r="C25" s="7" t="str">
        <f>"白冰姿"</f>
        <v>白冰姿</v>
      </c>
      <c r="D25" s="7">
        <f>VLOOKUP(B25,'[1]02-伊旗籍女岗'!$C$3:$E$73,3,FALSE)</f>
        <v>57.4</v>
      </c>
      <c r="E25" s="8">
        <f t="shared" si="0"/>
        <v>34.44</v>
      </c>
      <c r="F25" s="13">
        <v>72.62</v>
      </c>
      <c r="G25" s="8">
        <f t="shared" si="1"/>
        <v>29.048</v>
      </c>
      <c r="H25" s="8">
        <f t="shared" si="2"/>
        <v>63.488</v>
      </c>
      <c r="I25" s="8" t="s">
        <v>11</v>
      </c>
    </row>
    <row r="26" s="11" customFormat="1" ht="31" customHeight="1" spans="1:9">
      <c r="A26" s="9">
        <v>24</v>
      </c>
      <c r="B26" s="9" t="str">
        <f>"15002021417"</f>
        <v>15002021417</v>
      </c>
      <c r="C26" s="9" t="str">
        <f>"项璐"</f>
        <v>项璐</v>
      </c>
      <c r="D26" s="9">
        <f>VLOOKUP(B26,'[1]02-伊旗籍女岗'!$C$3:$E$73,3,FALSE)</f>
        <v>56.3</v>
      </c>
      <c r="E26" s="10">
        <f t="shared" si="0"/>
        <v>33.78</v>
      </c>
      <c r="F26" s="14">
        <v>73.56</v>
      </c>
      <c r="G26" s="10">
        <f t="shared" si="1"/>
        <v>29.424</v>
      </c>
      <c r="H26" s="10">
        <f t="shared" si="2"/>
        <v>63.204</v>
      </c>
      <c r="I26" s="10" t="s">
        <v>11</v>
      </c>
    </row>
    <row r="27" s="11" customFormat="1" ht="31" customHeight="1" spans="1:9">
      <c r="A27" s="7">
        <v>25</v>
      </c>
      <c r="B27" s="7" t="str">
        <f>"15002021201"</f>
        <v>15002021201</v>
      </c>
      <c r="C27" s="7" t="str">
        <f>"刘丽"</f>
        <v>刘丽</v>
      </c>
      <c r="D27" s="7">
        <f>VLOOKUP(B27,'[1]02-伊旗籍女岗'!$C$3:$E$73,3,FALSE)</f>
        <v>58.7</v>
      </c>
      <c r="E27" s="8">
        <f t="shared" si="0"/>
        <v>35.22</v>
      </c>
      <c r="F27" s="13">
        <v>69.3</v>
      </c>
      <c r="G27" s="8">
        <f t="shared" si="1"/>
        <v>27.72</v>
      </c>
      <c r="H27" s="8">
        <f t="shared" si="2"/>
        <v>62.94</v>
      </c>
      <c r="I27" s="8" t="s">
        <v>11</v>
      </c>
    </row>
    <row r="28" s="11" customFormat="1" ht="31" customHeight="1" spans="1:9">
      <c r="A28" s="9">
        <v>26</v>
      </c>
      <c r="B28" s="9" t="str">
        <f>"15002021428"</f>
        <v>15002021428</v>
      </c>
      <c r="C28" s="9" t="str">
        <f>"吕雯雯"</f>
        <v>吕雯雯</v>
      </c>
      <c r="D28" s="9">
        <f>VLOOKUP(B28,'[1]02-伊旗籍女岗'!$C$3:$E$73,3,FALSE)</f>
        <v>57.6</v>
      </c>
      <c r="E28" s="10">
        <f t="shared" si="0"/>
        <v>34.56</v>
      </c>
      <c r="F28" s="14">
        <v>70.54</v>
      </c>
      <c r="G28" s="10">
        <f t="shared" si="1"/>
        <v>28.216</v>
      </c>
      <c r="H28" s="10">
        <f t="shared" si="2"/>
        <v>62.776</v>
      </c>
      <c r="I28" s="10" t="s">
        <v>11</v>
      </c>
    </row>
    <row r="29" s="11" customFormat="1" ht="31" customHeight="1" spans="1:9">
      <c r="A29" s="7">
        <v>27</v>
      </c>
      <c r="B29" s="7" t="str">
        <f>"15002021508"</f>
        <v>15002021508</v>
      </c>
      <c r="C29" s="7" t="str">
        <f>"刘慧"</f>
        <v>刘慧</v>
      </c>
      <c r="D29" s="7">
        <f>VLOOKUP(B29,'[1]02-伊旗籍女岗'!$C$3:$E$73,3,FALSE)</f>
        <v>56.4</v>
      </c>
      <c r="E29" s="8">
        <f t="shared" si="0"/>
        <v>33.84</v>
      </c>
      <c r="F29" s="13">
        <v>72.3</v>
      </c>
      <c r="G29" s="8">
        <f t="shared" si="1"/>
        <v>28.92</v>
      </c>
      <c r="H29" s="8">
        <f t="shared" si="2"/>
        <v>62.76</v>
      </c>
      <c r="I29" s="8" t="s">
        <v>11</v>
      </c>
    </row>
    <row r="30" s="11" customFormat="1" ht="31" customHeight="1" spans="1:9">
      <c r="A30" s="9">
        <v>28</v>
      </c>
      <c r="B30" s="9" t="str">
        <f>"15002021313"</f>
        <v>15002021313</v>
      </c>
      <c r="C30" s="9" t="str">
        <f>"袁志芳"</f>
        <v>袁志芳</v>
      </c>
      <c r="D30" s="9">
        <f>VLOOKUP(B30,'[1]02-伊旗籍女岗'!$C$3:$E$73,3,FALSE)</f>
        <v>58.2</v>
      </c>
      <c r="E30" s="10">
        <f t="shared" si="0"/>
        <v>34.92</v>
      </c>
      <c r="F30" s="14">
        <v>69.3</v>
      </c>
      <c r="G30" s="10">
        <f t="shared" si="1"/>
        <v>27.72</v>
      </c>
      <c r="H30" s="10">
        <f t="shared" si="2"/>
        <v>62.64</v>
      </c>
      <c r="I30" s="10" t="s">
        <v>11</v>
      </c>
    </row>
    <row r="31" s="11" customFormat="1" ht="31" customHeight="1" spans="1:9">
      <c r="A31" s="7">
        <v>29</v>
      </c>
      <c r="B31" s="7" t="str">
        <f>"15002020804"</f>
        <v>15002020804</v>
      </c>
      <c r="C31" s="7" t="str">
        <f>"邱瑞敏"</f>
        <v>邱瑞敏</v>
      </c>
      <c r="D31" s="7">
        <f>VLOOKUP(B31,'[1]02-伊旗籍女岗'!$C$3:$E$73,3,FALSE)</f>
        <v>56.7</v>
      </c>
      <c r="E31" s="8">
        <f t="shared" si="0"/>
        <v>34.02</v>
      </c>
      <c r="F31" s="13">
        <v>71.22</v>
      </c>
      <c r="G31" s="8">
        <f t="shared" si="1"/>
        <v>28.488</v>
      </c>
      <c r="H31" s="8">
        <f t="shared" si="2"/>
        <v>62.508</v>
      </c>
      <c r="I31" s="8" t="s">
        <v>11</v>
      </c>
    </row>
    <row r="32" s="11" customFormat="1" ht="31" customHeight="1" spans="1:9">
      <c r="A32" s="9">
        <v>30</v>
      </c>
      <c r="B32" s="9" t="str">
        <f>"15002021223"</f>
        <v>15002021223</v>
      </c>
      <c r="C32" s="9" t="str">
        <f>"李芳"</f>
        <v>李芳</v>
      </c>
      <c r="D32" s="9">
        <f>VLOOKUP(B32,'[1]02-伊旗籍女岗'!$C$3:$E$73,3,FALSE)</f>
        <v>57.5</v>
      </c>
      <c r="E32" s="10">
        <f t="shared" si="0"/>
        <v>34.5</v>
      </c>
      <c r="F32" s="14">
        <v>69.72</v>
      </c>
      <c r="G32" s="10">
        <f t="shared" si="1"/>
        <v>27.888</v>
      </c>
      <c r="H32" s="10">
        <f t="shared" si="2"/>
        <v>62.388</v>
      </c>
      <c r="I32" s="10" t="s">
        <v>11</v>
      </c>
    </row>
    <row r="33" s="11" customFormat="1" ht="31" customHeight="1" spans="1:9">
      <c r="A33" s="7">
        <v>31</v>
      </c>
      <c r="B33" s="7" t="str">
        <f>"15002021227"</f>
        <v>15002021227</v>
      </c>
      <c r="C33" s="7" t="str">
        <f>"刘畅"</f>
        <v>刘畅</v>
      </c>
      <c r="D33" s="7">
        <f>VLOOKUP(B33,'[1]02-伊旗籍女岗'!$C$3:$E$73,3,FALSE)</f>
        <v>56.3</v>
      </c>
      <c r="E33" s="8">
        <f t="shared" si="0"/>
        <v>33.78</v>
      </c>
      <c r="F33" s="13">
        <v>71.04</v>
      </c>
      <c r="G33" s="8">
        <f t="shared" si="1"/>
        <v>28.416</v>
      </c>
      <c r="H33" s="8">
        <f t="shared" si="2"/>
        <v>62.196</v>
      </c>
      <c r="I33" s="8" t="s">
        <v>11</v>
      </c>
    </row>
    <row r="34" s="11" customFormat="1" ht="31" customHeight="1" spans="1:9">
      <c r="A34" s="9">
        <v>32</v>
      </c>
      <c r="B34" s="9" t="str">
        <f>"15002020414"</f>
        <v>15002020414</v>
      </c>
      <c r="C34" s="9" t="str">
        <f>"王敏"</f>
        <v>王敏</v>
      </c>
      <c r="D34" s="9">
        <f>VLOOKUP(B34,'[1]02-伊旗籍女岗'!$C$3:$E$73,3,FALSE)</f>
        <v>57</v>
      </c>
      <c r="E34" s="10">
        <f t="shared" si="0"/>
        <v>34.2</v>
      </c>
      <c r="F34" s="14">
        <v>69.34</v>
      </c>
      <c r="G34" s="10">
        <f t="shared" si="1"/>
        <v>27.736</v>
      </c>
      <c r="H34" s="10">
        <f t="shared" si="2"/>
        <v>61.936</v>
      </c>
      <c r="I34" s="10" t="s">
        <v>11</v>
      </c>
    </row>
    <row r="35" s="11" customFormat="1" ht="31" customHeight="1" spans="1:9">
      <c r="A35" s="7">
        <v>33</v>
      </c>
      <c r="B35" s="7" t="str">
        <f>"15002020317"</f>
        <v>15002020317</v>
      </c>
      <c r="C35" s="7" t="str">
        <f>"刘红婕"</f>
        <v>刘红婕</v>
      </c>
      <c r="D35" s="7">
        <f>VLOOKUP(B35,'[1]02-伊旗籍女岗'!$C$3:$E$73,3,FALSE)</f>
        <v>55.1</v>
      </c>
      <c r="E35" s="8">
        <f t="shared" si="0"/>
        <v>33.06</v>
      </c>
      <c r="F35" s="13">
        <v>71.88</v>
      </c>
      <c r="G35" s="8">
        <f t="shared" si="1"/>
        <v>28.752</v>
      </c>
      <c r="H35" s="8">
        <f t="shared" si="2"/>
        <v>61.812</v>
      </c>
      <c r="I35" s="8" t="s">
        <v>11</v>
      </c>
    </row>
    <row r="36" s="11" customFormat="1" ht="31" customHeight="1" spans="1:9">
      <c r="A36" s="9">
        <v>34</v>
      </c>
      <c r="B36" s="9" t="str">
        <f>"15002021008"</f>
        <v>15002021008</v>
      </c>
      <c r="C36" s="9" t="str">
        <f>"白丽"</f>
        <v>白丽</v>
      </c>
      <c r="D36" s="9">
        <f>VLOOKUP(B36,'[1]02-伊旗籍女岗'!$C$3:$E$73,3,FALSE)</f>
        <v>55.3</v>
      </c>
      <c r="E36" s="10">
        <f t="shared" si="0"/>
        <v>33.18</v>
      </c>
      <c r="F36" s="14">
        <v>71.4</v>
      </c>
      <c r="G36" s="10">
        <f t="shared" si="1"/>
        <v>28.56</v>
      </c>
      <c r="H36" s="10">
        <f t="shared" si="2"/>
        <v>61.74</v>
      </c>
      <c r="I36" s="10" t="s">
        <v>11</v>
      </c>
    </row>
    <row r="37" s="11" customFormat="1" ht="31" customHeight="1" spans="1:9">
      <c r="A37" s="7">
        <v>35</v>
      </c>
      <c r="B37" s="7" t="str">
        <f>"15002021225"</f>
        <v>15002021225</v>
      </c>
      <c r="C37" s="7" t="str">
        <f>"郝敏"</f>
        <v>郝敏</v>
      </c>
      <c r="D37" s="7">
        <f>VLOOKUP(B37,'[1]02-伊旗籍女岗'!$C$3:$E$73,3,FALSE)</f>
        <v>58.9</v>
      </c>
      <c r="E37" s="8">
        <f t="shared" si="0"/>
        <v>35.34</v>
      </c>
      <c r="F37" s="13">
        <v>65.72</v>
      </c>
      <c r="G37" s="8">
        <f t="shared" si="1"/>
        <v>26.288</v>
      </c>
      <c r="H37" s="8">
        <f t="shared" si="2"/>
        <v>61.628</v>
      </c>
      <c r="I37" s="8" t="s">
        <v>11</v>
      </c>
    </row>
    <row r="38" s="11" customFormat="1" ht="31" customHeight="1" spans="1:9">
      <c r="A38" s="9">
        <v>36</v>
      </c>
      <c r="B38" s="9" t="str">
        <f>"15002020616"</f>
        <v>15002020616</v>
      </c>
      <c r="C38" s="9" t="str">
        <f>"高敏"</f>
        <v>高敏</v>
      </c>
      <c r="D38" s="9">
        <f>VLOOKUP(B38,'[1]02-伊旗籍女岗'!$C$3:$E$73,3,FALSE)</f>
        <v>56.7</v>
      </c>
      <c r="E38" s="10">
        <f t="shared" si="0"/>
        <v>34.02</v>
      </c>
      <c r="F38" s="14">
        <v>68.98</v>
      </c>
      <c r="G38" s="10">
        <f t="shared" si="1"/>
        <v>27.592</v>
      </c>
      <c r="H38" s="10">
        <f t="shared" si="2"/>
        <v>61.612</v>
      </c>
      <c r="I38" s="10" t="s">
        <v>11</v>
      </c>
    </row>
    <row r="39" s="11" customFormat="1" ht="31" customHeight="1" spans="1:9">
      <c r="A39" s="7">
        <v>37</v>
      </c>
      <c r="B39" s="7" t="str">
        <f>"15002020307"</f>
        <v>15002020307</v>
      </c>
      <c r="C39" s="7" t="str">
        <f>"石慧芳"</f>
        <v>石慧芳</v>
      </c>
      <c r="D39" s="7">
        <f>VLOOKUP(B39,'[1]02-伊旗籍女岗'!$C$3:$E$73,3,FALSE)</f>
        <v>57.4</v>
      </c>
      <c r="E39" s="8">
        <f t="shared" si="0"/>
        <v>34.44</v>
      </c>
      <c r="F39" s="13">
        <v>67.4</v>
      </c>
      <c r="G39" s="8">
        <f t="shared" si="1"/>
        <v>26.96</v>
      </c>
      <c r="H39" s="8">
        <f t="shared" si="2"/>
        <v>61.4</v>
      </c>
      <c r="I39" s="8" t="s">
        <v>11</v>
      </c>
    </row>
    <row r="40" s="11" customFormat="1" ht="31" customHeight="1" spans="1:9">
      <c r="A40" s="9">
        <v>38</v>
      </c>
      <c r="B40" s="9" t="str">
        <f>"15002020115"</f>
        <v>15002020115</v>
      </c>
      <c r="C40" s="9" t="str">
        <f>"高慧"</f>
        <v>高慧</v>
      </c>
      <c r="D40" s="9">
        <f>VLOOKUP(B40,'[1]02-伊旗籍女岗'!$C$3:$E$73,3,FALSE)</f>
        <v>55.3</v>
      </c>
      <c r="E40" s="10">
        <f t="shared" si="0"/>
        <v>33.18</v>
      </c>
      <c r="F40" s="14">
        <v>70.06</v>
      </c>
      <c r="G40" s="10">
        <f t="shared" si="1"/>
        <v>28.024</v>
      </c>
      <c r="H40" s="10">
        <f t="shared" si="2"/>
        <v>61.204</v>
      </c>
      <c r="I40" s="10" t="s">
        <v>11</v>
      </c>
    </row>
    <row r="41" s="11" customFormat="1" ht="31" customHeight="1" spans="1:9">
      <c r="A41" s="7">
        <v>39</v>
      </c>
      <c r="B41" s="7" t="str">
        <f>"15002021009"</f>
        <v>15002021009</v>
      </c>
      <c r="C41" s="7" t="str">
        <f>"乔敏"</f>
        <v>乔敏</v>
      </c>
      <c r="D41" s="7">
        <f>VLOOKUP(B41,'[1]02-伊旗籍女岗'!$C$3:$E$73,3,FALSE)</f>
        <v>56.4</v>
      </c>
      <c r="E41" s="8">
        <f t="shared" si="0"/>
        <v>33.84</v>
      </c>
      <c r="F41" s="13">
        <v>67.8</v>
      </c>
      <c r="G41" s="8">
        <f t="shared" si="1"/>
        <v>27.12</v>
      </c>
      <c r="H41" s="8">
        <f t="shared" si="2"/>
        <v>60.96</v>
      </c>
      <c r="I41" s="8" t="s">
        <v>11</v>
      </c>
    </row>
    <row r="42" s="11" customFormat="1" ht="31" customHeight="1" spans="1:9">
      <c r="A42" s="9">
        <v>40</v>
      </c>
      <c r="B42" s="9" t="str">
        <f>"15002021423"</f>
        <v>15002021423</v>
      </c>
      <c r="C42" s="9" t="str">
        <f>"高圆"</f>
        <v>高圆</v>
      </c>
      <c r="D42" s="9">
        <f>VLOOKUP(B42,'[1]02-伊旗籍女岗'!$C$3:$E$73,3,FALSE)</f>
        <v>55.3</v>
      </c>
      <c r="E42" s="10">
        <f t="shared" si="0"/>
        <v>33.18</v>
      </c>
      <c r="F42" s="14">
        <v>68.88</v>
      </c>
      <c r="G42" s="10">
        <f t="shared" si="1"/>
        <v>27.552</v>
      </c>
      <c r="H42" s="10">
        <f t="shared" si="2"/>
        <v>60.732</v>
      </c>
      <c r="I42" s="10" t="s">
        <v>11</v>
      </c>
    </row>
    <row r="43" s="11" customFormat="1" ht="31" customHeight="1" spans="1:9">
      <c r="A43" s="7">
        <v>41</v>
      </c>
      <c r="B43" s="7" t="str">
        <f>"15002020322"</f>
        <v>15002020322</v>
      </c>
      <c r="C43" s="7" t="str">
        <f>"杨慧"</f>
        <v>杨慧</v>
      </c>
      <c r="D43" s="7">
        <f>VLOOKUP(B43,'[1]02-伊旗籍女岗'!$C$3:$E$73,3,FALSE)</f>
        <v>57.4</v>
      </c>
      <c r="E43" s="8">
        <f t="shared" si="0"/>
        <v>34.44</v>
      </c>
      <c r="F43" s="13">
        <v>65.6</v>
      </c>
      <c r="G43" s="8">
        <f t="shared" si="1"/>
        <v>26.24</v>
      </c>
      <c r="H43" s="8">
        <f t="shared" si="2"/>
        <v>60.68</v>
      </c>
      <c r="I43" s="8" t="s">
        <v>11</v>
      </c>
    </row>
    <row r="44" s="11" customFormat="1" ht="31" customHeight="1" spans="1:9">
      <c r="A44" s="9">
        <v>42</v>
      </c>
      <c r="B44" s="9" t="str">
        <f>"15002020325"</f>
        <v>15002020325</v>
      </c>
      <c r="C44" s="9" t="str">
        <f>"闫晓艳"</f>
        <v>闫晓艳</v>
      </c>
      <c r="D44" s="9">
        <f>VLOOKUP(B44,'[1]02-伊旗籍女岗'!$C$3:$E$73,3,FALSE)</f>
        <v>55.4</v>
      </c>
      <c r="E44" s="10">
        <f t="shared" si="0"/>
        <v>33.24</v>
      </c>
      <c r="F44" s="14">
        <v>68.46</v>
      </c>
      <c r="G44" s="10">
        <f t="shared" si="1"/>
        <v>27.384</v>
      </c>
      <c r="H44" s="10">
        <f t="shared" si="2"/>
        <v>60.624</v>
      </c>
      <c r="I44" s="10" t="s">
        <v>11</v>
      </c>
    </row>
    <row r="45" s="11" customFormat="1" ht="31" customHeight="1" spans="1:9">
      <c r="A45" s="7">
        <v>43</v>
      </c>
      <c r="B45" s="15" t="s">
        <v>14</v>
      </c>
      <c r="C45" s="7" t="s">
        <v>15</v>
      </c>
      <c r="D45" s="7">
        <f>VLOOKUP(B45,'[1]02-伊旗籍女岗'!$C$3:$E$73,3,FALSE)</f>
        <v>55</v>
      </c>
      <c r="E45" s="8">
        <f t="shared" si="0"/>
        <v>33</v>
      </c>
      <c r="F45" s="13">
        <v>68.36</v>
      </c>
      <c r="G45" s="8">
        <f t="shared" si="1"/>
        <v>27.344</v>
      </c>
      <c r="H45" s="8">
        <f t="shared" si="2"/>
        <v>60.344</v>
      </c>
      <c r="I45" s="8" t="s">
        <v>11</v>
      </c>
    </row>
    <row r="46" s="11" customFormat="1" ht="31" customHeight="1" spans="1:9">
      <c r="A46" s="9">
        <v>44</v>
      </c>
      <c r="B46" s="9" t="str">
        <f>"15002020708"</f>
        <v>15002020708</v>
      </c>
      <c r="C46" s="9" t="str">
        <f>"郝舒婷"</f>
        <v>郝舒婷</v>
      </c>
      <c r="D46" s="9">
        <f>VLOOKUP(B46,'[1]02-伊旗籍女岗'!$C$3:$E$73,3,FALSE)</f>
        <v>55.6</v>
      </c>
      <c r="E46" s="10">
        <f t="shared" si="0"/>
        <v>33.36</v>
      </c>
      <c r="F46" s="14">
        <v>67.42</v>
      </c>
      <c r="G46" s="10">
        <f t="shared" si="1"/>
        <v>26.968</v>
      </c>
      <c r="H46" s="10">
        <f t="shared" si="2"/>
        <v>60.328</v>
      </c>
      <c r="I46" s="10" t="s">
        <v>11</v>
      </c>
    </row>
    <row r="47" s="11" customFormat="1" ht="31" customHeight="1" spans="1:9">
      <c r="A47" s="7">
        <v>45</v>
      </c>
      <c r="B47" s="7" t="str">
        <f>"15002020326"</f>
        <v>15002020326</v>
      </c>
      <c r="C47" s="7" t="str">
        <f>"王娜"</f>
        <v>王娜</v>
      </c>
      <c r="D47" s="7">
        <f>VLOOKUP(B47,'[1]02-伊旗籍女岗'!$C$3:$E$73,3,FALSE)</f>
        <v>55.6</v>
      </c>
      <c r="E47" s="8">
        <f t="shared" si="0"/>
        <v>33.36</v>
      </c>
      <c r="F47" s="13">
        <v>66.84</v>
      </c>
      <c r="G47" s="8">
        <f t="shared" si="1"/>
        <v>26.736</v>
      </c>
      <c r="H47" s="8">
        <f t="shared" si="2"/>
        <v>60.096</v>
      </c>
      <c r="I47" s="8" t="s">
        <v>11</v>
      </c>
    </row>
    <row r="48" s="1" customFormat="1" ht="34" customHeight="1" spans="1:9">
      <c r="A48" s="9">
        <v>46</v>
      </c>
      <c r="B48" s="9" t="str">
        <f>"15002021028"</f>
        <v>15002021028</v>
      </c>
      <c r="C48" s="9" t="str">
        <f>"郁摇蓝"</f>
        <v>郁摇蓝</v>
      </c>
      <c r="D48" s="9">
        <f>VLOOKUP(B48,'[1]02-伊旗籍女岗'!$C$3:$E$73,3,FALSE)</f>
        <v>55.9</v>
      </c>
      <c r="E48" s="10">
        <f t="shared" si="0"/>
        <v>33.54</v>
      </c>
      <c r="F48" s="14">
        <v>64.94</v>
      </c>
      <c r="G48" s="10">
        <f t="shared" si="1"/>
        <v>25.976</v>
      </c>
      <c r="H48" s="10">
        <f t="shared" si="2"/>
        <v>59.516</v>
      </c>
      <c r="I48" s="10" t="s">
        <v>11</v>
      </c>
    </row>
  </sheetData>
  <sortState ref="A2:J47">
    <sortCondition ref="H2:H47" descending="1"/>
  </sortState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workbookViewId="0">
      <selection activeCell="B3" sqref="B3"/>
    </sheetView>
  </sheetViews>
  <sheetFormatPr defaultColWidth="9" defaultRowHeight="15" customHeight="1"/>
  <cols>
    <col min="1" max="1" width="5.55833333333333" style="2"/>
    <col min="2" max="2" width="20.125" style="2" customWidth="1"/>
    <col min="3" max="3" width="21.525" style="2" customWidth="1"/>
    <col min="4" max="4" width="16.875" style="2" customWidth="1"/>
    <col min="5" max="5" width="19.5" style="3" customWidth="1"/>
    <col min="6" max="6" width="13.875" style="3" customWidth="1"/>
    <col min="7" max="7" width="19.5" style="3" customWidth="1"/>
    <col min="8" max="8" width="13.875" style="3" customWidth="1"/>
    <col min="9" max="9" width="16.5" style="2" customWidth="1"/>
    <col min="10" max="16384" width="9" style="1"/>
  </cols>
  <sheetData>
    <row r="1" s="1" customFormat="1" ht="32" customHeight="1" spans="1:9">
      <c r="A1" s="4" t="s">
        <v>16</v>
      </c>
      <c r="B1" s="4"/>
      <c r="C1" s="4"/>
      <c r="D1" s="4"/>
      <c r="E1" s="4"/>
      <c r="F1" s="4"/>
      <c r="G1" s="4"/>
      <c r="H1" s="4"/>
      <c r="I1" s="4"/>
    </row>
    <row r="2" s="1" customFormat="1" ht="3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s="1" customFormat="1" ht="31" customHeight="1" spans="1:9">
      <c r="A3" s="7">
        <v>1</v>
      </c>
      <c r="B3" s="7" t="str">
        <f>"15003021730"</f>
        <v>15003021730</v>
      </c>
      <c r="C3" s="7" t="str">
        <f>"萨楚日勒"</f>
        <v>萨楚日勒</v>
      </c>
      <c r="D3" s="7">
        <f>VLOOKUP(B3,'[1]03-鄂尔多斯市籍男岗'!$C$3:$E$90,3,FALSE)</f>
        <v>78.9</v>
      </c>
      <c r="E3" s="8">
        <f t="shared" ref="E3:E66" si="0">D3*0.6</f>
        <v>47.34</v>
      </c>
      <c r="F3" s="8">
        <v>72.26</v>
      </c>
      <c r="G3" s="8">
        <f t="shared" ref="G3:G66" si="1">F3*0.4</f>
        <v>28.904</v>
      </c>
      <c r="H3" s="8">
        <f t="shared" ref="H3:H66" si="2">E3+G3</f>
        <v>76.244</v>
      </c>
      <c r="I3" s="7" t="s">
        <v>10</v>
      </c>
    </row>
    <row r="4" s="1" customFormat="1" ht="31" customHeight="1" spans="1:9">
      <c r="A4" s="9">
        <v>2</v>
      </c>
      <c r="B4" s="9" t="str">
        <f>"15003023426"</f>
        <v>15003023426</v>
      </c>
      <c r="C4" s="9" t="str">
        <f>"马存山"</f>
        <v>马存山</v>
      </c>
      <c r="D4" s="9">
        <f>VLOOKUP(B4,'[1]03-鄂尔多斯市籍男岗'!$C$3:$E$90,3,FALSE)</f>
        <v>73.8</v>
      </c>
      <c r="E4" s="10">
        <f t="shared" si="0"/>
        <v>44.28</v>
      </c>
      <c r="F4" s="10">
        <v>70.04</v>
      </c>
      <c r="G4" s="10">
        <f t="shared" si="1"/>
        <v>28.016</v>
      </c>
      <c r="H4" s="10">
        <f t="shared" si="2"/>
        <v>72.296</v>
      </c>
      <c r="I4" s="9" t="s">
        <v>10</v>
      </c>
    </row>
    <row r="5" s="1" customFormat="1" ht="31" customHeight="1" spans="1:9">
      <c r="A5" s="7">
        <v>3</v>
      </c>
      <c r="B5" s="7" t="str">
        <f>"15003021922"</f>
        <v>15003021922</v>
      </c>
      <c r="C5" s="7" t="str">
        <f>"王占峰"</f>
        <v>王占峰</v>
      </c>
      <c r="D5" s="7">
        <f>VLOOKUP(B5,'[1]03-鄂尔多斯市籍男岗'!$C$3:$E$90,3,FALSE)</f>
        <v>73.2</v>
      </c>
      <c r="E5" s="8">
        <f t="shared" si="0"/>
        <v>43.92</v>
      </c>
      <c r="F5" s="8">
        <v>70.82</v>
      </c>
      <c r="G5" s="8">
        <f t="shared" si="1"/>
        <v>28.328</v>
      </c>
      <c r="H5" s="8">
        <f t="shared" si="2"/>
        <v>72.248</v>
      </c>
      <c r="I5" s="7" t="s">
        <v>10</v>
      </c>
    </row>
    <row r="6" s="1" customFormat="1" ht="31" customHeight="1" spans="1:9">
      <c r="A6" s="9">
        <v>4</v>
      </c>
      <c r="B6" s="9" t="str">
        <f>"15003022828"</f>
        <v>15003022828</v>
      </c>
      <c r="C6" s="9" t="str">
        <f>"郝鑫瑞"</f>
        <v>郝鑫瑞</v>
      </c>
      <c r="D6" s="9">
        <f>VLOOKUP(B6,'[1]03-鄂尔多斯市籍男岗'!$C$3:$E$90,3,FALSE)</f>
        <v>71</v>
      </c>
      <c r="E6" s="10">
        <f t="shared" si="0"/>
        <v>42.6</v>
      </c>
      <c r="F6" s="10">
        <v>71.52</v>
      </c>
      <c r="G6" s="10">
        <f t="shared" si="1"/>
        <v>28.608</v>
      </c>
      <c r="H6" s="10">
        <f t="shared" si="2"/>
        <v>71.208</v>
      </c>
      <c r="I6" s="9" t="s">
        <v>10</v>
      </c>
    </row>
    <row r="7" s="1" customFormat="1" ht="31" customHeight="1" spans="1:9">
      <c r="A7" s="7">
        <v>5</v>
      </c>
      <c r="B7" s="7" t="str">
        <f>"15003022819"</f>
        <v>15003022819</v>
      </c>
      <c r="C7" s="7" t="str">
        <f>"郝元"</f>
        <v>郝元</v>
      </c>
      <c r="D7" s="7">
        <f>VLOOKUP(B7,'[1]03-鄂尔多斯市籍男岗'!$C$3:$E$90,3,FALSE)</f>
        <v>68.9</v>
      </c>
      <c r="E7" s="8">
        <f t="shared" si="0"/>
        <v>41.34</v>
      </c>
      <c r="F7" s="8">
        <v>73.66</v>
      </c>
      <c r="G7" s="8">
        <f t="shared" si="1"/>
        <v>29.464</v>
      </c>
      <c r="H7" s="8">
        <f t="shared" si="2"/>
        <v>70.804</v>
      </c>
      <c r="I7" s="7" t="s">
        <v>10</v>
      </c>
    </row>
    <row r="8" s="1" customFormat="1" ht="31" customHeight="1" spans="1:9">
      <c r="A8" s="9">
        <v>6</v>
      </c>
      <c r="B8" s="9" t="str">
        <f>"15003022403"</f>
        <v>15003022403</v>
      </c>
      <c r="C8" s="9" t="str">
        <f>"徐伟"</f>
        <v>徐伟</v>
      </c>
      <c r="D8" s="9">
        <f>VLOOKUP(B8,'[1]03-鄂尔多斯市籍男岗'!$C$3:$E$90,3,FALSE)</f>
        <v>68.8</v>
      </c>
      <c r="E8" s="10">
        <f t="shared" si="0"/>
        <v>41.28</v>
      </c>
      <c r="F8" s="10">
        <v>73.3</v>
      </c>
      <c r="G8" s="10">
        <f t="shared" si="1"/>
        <v>29.32</v>
      </c>
      <c r="H8" s="10">
        <f t="shared" si="2"/>
        <v>70.6</v>
      </c>
      <c r="I8" s="9" t="s">
        <v>10</v>
      </c>
    </row>
    <row r="9" s="1" customFormat="1" ht="31" customHeight="1" spans="1:9">
      <c r="A9" s="7">
        <v>7</v>
      </c>
      <c r="B9" s="7" t="str">
        <f>"15003023023"</f>
        <v>15003023023</v>
      </c>
      <c r="C9" s="7" t="str">
        <f>"程飞"</f>
        <v>程飞</v>
      </c>
      <c r="D9" s="7">
        <f>VLOOKUP(B9,'[1]03-鄂尔多斯市籍男岗'!$C$3:$E$90,3,FALSE)</f>
        <v>66.9</v>
      </c>
      <c r="E9" s="8">
        <f t="shared" si="0"/>
        <v>40.14</v>
      </c>
      <c r="F9" s="8">
        <v>72.2</v>
      </c>
      <c r="G9" s="8">
        <f t="shared" si="1"/>
        <v>28.88</v>
      </c>
      <c r="H9" s="8">
        <f t="shared" si="2"/>
        <v>69.02</v>
      </c>
      <c r="I9" s="7" t="s">
        <v>10</v>
      </c>
    </row>
    <row r="10" s="1" customFormat="1" ht="31" customHeight="1" spans="1:9">
      <c r="A10" s="9">
        <v>8</v>
      </c>
      <c r="B10" s="9" t="str">
        <f>"15003023303"</f>
        <v>15003023303</v>
      </c>
      <c r="C10" s="9" t="str">
        <f>"常昊"</f>
        <v>常昊</v>
      </c>
      <c r="D10" s="9">
        <f>VLOOKUP(B10,'[1]03-鄂尔多斯市籍男岗'!$C$3:$E$90,3,FALSE)</f>
        <v>66.8</v>
      </c>
      <c r="E10" s="10">
        <f t="shared" si="0"/>
        <v>40.08</v>
      </c>
      <c r="F10" s="10">
        <v>71.66</v>
      </c>
      <c r="G10" s="10">
        <f t="shared" si="1"/>
        <v>28.664</v>
      </c>
      <c r="H10" s="10">
        <f t="shared" si="2"/>
        <v>68.744</v>
      </c>
      <c r="I10" s="9" t="s">
        <v>10</v>
      </c>
    </row>
    <row r="11" s="1" customFormat="1" ht="31" customHeight="1" spans="1:9">
      <c r="A11" s="7">
        <v>9</v>
      </c>
      <c r="B11" s="7" t="str">
        <f>"15003021630"</f>
        <v>15003021630</v>
      </c>
      <c r="C11" s="7" t="str">
        <f>"杨德志"</f>
        <v>杨德志</v>
      </c>
      <c r="D11" s="7">
        <f>VLOOKUP(B11,'[1]03-鄂尔多斯市籍男岗'!$C$3:$E$90,3,FALSE)</f>
        <v>65.8</v>
      </c>
      <c r="E11" s="8">
        <f t="shared" si="0"/>
        <v>39.48</v>
      </c>
      <c r="F11" s="8">
        <v>72.74</v>
      </c>
      <c r="G11" s="8">
        <f t="shared" si="1"/>
        <v>29.096</v>
      </c>
      <c r="H11" s="8">
        <f t="shared" si="2"/>
        <v>68.576</v>
      </c>
      <c r="I11" s="7" t="s">
        <v>10</v>
      </c>
    </row>
    <row r="12" s="1" customFormat="1" ht="31" customHeight="1" spans="1:9">
      <c r="A12" s="9">
        <v>10</v>
      </c>
      <c r="B12" s="9" t="str">
        <f>"15003023617"</f>
        <v>15003023617</v>
      </c>
      <c r="C12" s="9" t="str">
        <f>"郝士清"</f>
        <v>郝士清</v>
      </c>
      <c r="D12" s="9">
        <f>VLOOKUP(B12,'[1]03-鄂尔多斯市籍男岗'!$C$3:$E$90,3,FALSE)</f>
        <v>65.2</v>
      </c>
      <c r="E12" s="10">
        <f t="shared" si="0"/>
        <v>39.12</v>
      </c>
      <c r="F12" s="10">
        <v>73.5</v>
      </c>
      <c r="G12" s="10">
        <f t="shared" si="1"/>
        <v>29.4</v>
      </c>
      <c r="H12" s="10">
        <f t="shared" si="2"/>
        <v>68.52</v>
      </c>
      <c r="I12" s="9" t="s">
        <v>10</v>
      </c>
    </row>
    <row r="13" s="1" customFormat="1" ht="32" customHeight="1" spans="1:9">
      <c r="A13" s="7">
        <v>11</v>
      </c>
      <c r="B13" s="7" t="str">
        <f>"15003024123"</f>
        <v>15003024123</v>
      </c>
      <c r="C13" s="7" t="str">
        <f>"范凯杰"</f>
        <v>范凯杰</v>
      </c>
      <c r="D13" s="7">
        <f>VLOOKUP(B13,'[1]03-鄂尔多斯市籍男岗'!$C$3:$E$90,3,FALSE)</f>
        <v>65.6</v>
      </c>
      <c r="E13" s="8">
        <f t="shared" si="0"/>
        <v>39.36</v>
      </c>
      <c r="F13" s="8">
        <v>72.4</v>
      </c>
      <c r="G13" s="8">
        <f t="shared" si="1"/>
        <v>28.96</v>
      </c>
      <c r="H13" s="8">
        <f t="shared" si="2"/>
        <v>68.32</v>
      </c>
      <c r="I13" s="7" t="s">
        <v>10</v>
      </c>
    </row>
    <row r="14" s="1" customFormat="1" ht="31" customHeight="1" spans="1:9">
      <c r="A14" s="9">
        <v>12</v>
      </c>
      <c r="B14" s="9" t="str">
        <f>"15003022221"</f>
        <v>15003022221</v>
      </c>
      <c r="C14" s="9" t="str">
        <f>"贾宇"</f>
        <v>贾宇</v>
      </c>
      <c r="D14" s="9">
        <f>VLOOKUP(B14,'[1]03-鄂尔多斯市籍男岗'!$C$3:$E$90,3,FALSE)</f>
        <v>66.9</v>
      </c>
      <c r="E14" s="10">
        <f t="shared" si="0"/>
        <v>40.14</v>
      </c>
      <c r="F14" s="10">
        <v>69.68</v>
      </c>
      <c r="G14" s="10">
        <f t="shared" si="1"/>
        <v>27.872</v>
      </c>
      <c r="H14" s="10">
        <f t="shared" si="2"/>
        <v>68.012</v>
      </c>
      <c r="I14" s="9" t="s">
        <v>10</v>
      </c>
    </row>
    <row r="15" s="1" customFormat="1" ht="31" customHeight="1" spans="1:9">
      <c r="A15" s="7">
        <v>13</v>
      </c>
      <c r="B15" s="7" t="str">
        <f>"15003022012"</f>
        <v>15003022012</v>
      </c>
      <c r="C15" s="7" t="str">
        <f>"王月凯"</f>
        <v>王月凯</v>
      </c>
      <c r="D15" s="7">
        <f>VLOOKUP(B15,'[1]03-鄂尔多斯市籍男岗'!$C$3:$E$90,3,FALSE)</f>
        <v>65.3</v>
      </c>
      <c r="E15" s="8">
        <f t="shared" si="0"/>
        <v>39.18</v>
      </c>
      <c r="F15" s="8">
        <v>71.62</v>
      </c>
      <c r="G15" s="8">
        <f t="shared" si="1"/>
        <v>28.648</v>
      </c>
      <c r="H15" s="8">
        <f t="shared" si="2"/>
        <v>67.828</v>
      </c>
      <c r="I15" s="7" t="s">
        <v>10</v>
      </c>
    </row>
    <row r="16" s="1" customFormat="1" ht="31" customHeight="1" spans="1:9">
      <c r="A16" s="9">
        <v>14</v>
      </c>
      <c r="B16" s="9" t="str">
        <f>"15003023710"</f>
        <v>15003023710</v>
      </c>
      <c r="C16" s="9" t="str">
        <f>"王雪康"</f>
        <v>王雪康</v>
      </c>
      <c r="D16" s="9">
        <f>VLOOKUP(B16,'[1]03-鄂尔多斯市籍男岗'!$C$3:$E$90,3,FALSE)</f>
        <v>64</v>
      </c>
      <c r="E16" s="10">
        <f t="shared" si="0"/>
        <v>38.4</v>
      </c>
      <c r="F16" s="10">
        <v>73.16</v>
      </c>
      <c r="G16" s="10">
        <f t="shared" si="1"/>
        <v>29.264</v>
      </c>
      <c r="H16" s="10">
        <f t="shared" si="2"/>
        <v>67.664</v>
      </c>
      <c r="I16" s="9" t="s">
        <v>10</v>
      </c>
    </row>
    <row r="17" s="1" customFormat="1" ht="31" customHeight="1" spans="1:9">
      <c r="A17" s="7">
        <v>15</v>
      </c>
      <c r="B17" s="7" t="str">
        <f>"15003022317"</f>
        <v>15003022317</v>
      </c>
      <c r="C17" s="7" t="str">
        <f>"刘欢"</f>
        <v>刘欢</v>
      </c>
      <c r="D17" s="7">
        <f>VLOOKUP(B17,'[1]03-鄂尔多斯市籍男岗'!$C$3:$E$90,3,FALSE)</f>
        <v>65</v>
      </c>
      <c r="E17" s="8">
        <f t="shared" si="0"/>
        <v>39</v>
      </c>
      <c r="F17" s="8">
        <v>71.4</v>
      </c>
      <c r="G17" s="8">
        <f t="shared" si="1"/>
        <v>28.56</v>
      </c>
      <c r="H17" s="8">
        <f t="shared" si="2"/>
        <v>67.56</v>
      </c>
      <c r="I17" s="7" t="s">
        <v>10</v>
      </c>
    </row>
    <row r="18" s="1" customFormat="1" ht="31" customHeight="1" spans="1:9">
      <c r="A18" s="9">
        <v>16</v>
      </c>
      <c r="B18" s="9" t="str">
        <f>"15003023204"</f>
        <v>15003023204</v>
      </c>
      <c r="C18" s="9" t="str">
        <f>"秦雄"</f>
        <v>秦雄</v>
      </c>
      <c r="D18" s="9">
        <f>VLOOKUP(B18,'[1]03-鄂尔多斯市籍男岗'!$C$3:$E$90,3,FALSE)</f>
        <v>63.1</v>
      </c>
      <c r="E18" s="10">
        <f t="shared" si="0"/>
        <v>37.86</v>
      </c>
      <c r="F18" s="10">
        <v>73.78</v>
      </c>
      <c r="G18" s="10">
        <f t="shared" si="1"/>
        <v>29.512</v>
      </c>
      <c r="H18" s="10">
        <f t="shared" si="2"/>
        <v>67.372</v>
      </c>
      <c r="I18" s="9" t="s">
        <v>10</v>
      </c>
    </row>
    <row r="19" s="1" customFormat="1" ht="31" customHeight="1" spans="1:9">
      <c r="A19" s="7">
        <v>17</v>
      </c>
      <c r="B19" s="7" t="str">
        <f>"15003023119"</f>
        <v>15003023119</v>
      </c>
      <c r="C19" s="7" t="str">
        <f>"阿其太"</f>
        <v>阿其太</v>
      </c>
      <c r="D19" s="7">
        <f>VLOOKUP(B19,'[1]03-鄂尔多斯市籍男岗'!$C$3:$E$90,3,FALSE)</f>
        <v>64.5</v>
      </c>
      <c r="E19" s="8">
        <f t="shared" si="0"/>
        <v>38.7</v>
      </c>
      <c r="F19" s="8">
        <v>70.36</v>
      </c>
      <c r="G19" s="8">
        <f t="shared" si="1"/>
        <v>28.144</v>
      </c>
      <c r="H19" s="8">
        <f t="shared" si="2"/>
        <v>66.844</v>
      </c>
      <c r="I19" s="7" t="s">
        <v>10</v>
      </c>
    </row>
    <row r="20" s="1" customFormat="1" ht="31" customHeight="1" spans="1:9">
      <c r="A20" s="9">
        <v>18</v>
      </c>
      <c r="B20" s="9" t="str">
        <f>"15003022611"</f>
        <v>15003022611</v>
      </c>
      <c r="C20" s="9" t="str">
        <f>"刘超"</f>
        <v>刘超</v>
      </c>
      <c r="D20" s="9">
        <f>VLOOKUP(B20,'[1]03-鄂尔多斯市籍男岗'!$C$3:$E$90,3,FALSE)</f>
        <v>61.7</v>
      </c>
      <c r="E20" s="10">
        <f t="shared" si="0"/>
        <v>37.02</v>
      </c>
      <c r="F20" s="10">
        <v>74.28</v>
      </c>
      <c r="G20" s="10">
        <f t="shared" si="1"/>
        <v>29.712</v>
      </c>
      <c r="H20" s="10">
        <f t="shared" si="2"/>
        <v>66.732</v>
      </c>
      <c r="I20" s="9" t="s">
        <v>10</v>
      </c>
    </row>
    <row r="21" s="1" customFormat="1" ht="31" customHeight="1" spans="1:9">
      <c r="A21" s="7">
        <v>19</v>
      </c>
      <c r="B21" s="7" t="str">
        <f>"15003022302"</f>
        <v>15003022302</v>
      </c>
      <c r="C21" s="7" t="str">
        <f>"赵磊"</f>
        <v>赵磊</v>
      </c>
      <c r="D21" s="7">
        <f>VLOOKUP(B21,'[1]03-鄂尔多斯市籍男岗'!$C$3:$E$90,3,FALSE)</f>
        <v>62.8</v>
      </c>
      <c r="E21" s="8">
        <f t="shared" si="0"/>
        <v>37.68</v>
      </c>
      <c r="F21" s="8">
        <v>72.56</v>
      </c>
      <c r="G21" s="8">
        <f t="shared" si="1"/>
        <v>29.024</v>
      </c>
      <c r="H21" s="8">
        <f t="shared" si="2"/>
        <v>66.704</v>
      </c>
      <c r="I21" s="7" t="s">
        <v>10</v>
      </c>
    </row>
    <row r="22" s="1" customFormat="1" ht="31" customHeight="1" spans="1:9">
      <c r="A22" s="9">
        <v>20</v>
      </c>
      <c r="B22" s="9" t="str">
        <f>"15003022504"</f>
        <v>15003022504</v>
      </c>
      <c r="C22" s="9" t="str">
        <f>"郑陟炜"</f>
        <v>郑陟炜</v>
      </c>
      <c r="D22" s="9">
        <f>VLOOKUP(B22,'[1]03-鄂尔多斯市籍男岗'!$C$3:$E$90,3,FALSE)</f>
        <v>61.6</v>
      </c>
      <c r="E22" s="10">
        <f t="shared" si="0"/>
        <v>36.96</v>
      </c>
      <c r="F22" s="10">
        <v>74</v>
      </c>
      <c r="G22" s="10">
        <f t="shared" si="1"/>
        <v>29.6</v>
      </c>
      <c r="H22" s="10">
        <f t="shared" si="2"/>
        <v>66.56</v>
      </c>
      <c r="I22" s="9" t="s">
        <v>10</v>
      </c>
    </row>
    <row r="23" s="1" customFormat="1" ht="31" customHeight="1" spans="1:9">
      <c r="A23" s="7">
        <v>21</v>
      </c>
      <c r="B23" s="7" t="str">
        <f>"15003022205"</f>
        <v>15003022205</v>
      </c>
      <c r="C23" s="7" t="str">
        <f>"王茂忠"</f>
        <v>王茂忠</v>
      </c>
      <c r="D23" s="7">
        <f>VLOOKUP(B23,'[1]03-鄂尔多斯市籍男岗'!$C$3:$E$90,3,FALSE)</f>
        <v>62.7</v>
      </c>
      <c r="E23" s="8">
        <f t="shared" si="0"/>
        <v>37.62</v>
      </c>
      <c r="F23" s="8">
        <v>72.2</v>
      </c>
      <c r="G23" s="8">
        <f t="shared" si="1"/>
        <v>28.88</v>
      </c>
      <c r="H23" s="8">
        <f t="shared" si="2"/>
        <v>66.5</v>
      </c>
      <c r="I23" s="7" t="s">
        <v>10</v>
      </c>
    </row>
    <row r="24" s="1" customFormat="1" ht="31" customHeight="1" spans="1:9">
      <c r="A24" s="9">
        <v>22</v>
      </c>
      <c r="B24" s="9" t="str">
        <f>"15003023402"</f>
        <v>15003023402</v>
      </c>
      <c r="C24" s="9" t="str">
        <f>"魏子乐"</f>
        <v>魏子乐</v>
      </c>
      <c r="D24" s="9">
        <f>VLOOKUP(B24,'[1]03-鄂尔多斯市籍男岗'!$C$3:$E$90,3,FALSE)</f>
        <v>65.7</v>
      </c>
      <c r="E24" s="10">
        <f t="shared" si="0"/>
        <v>39.42</v>
      </c>
      <c r="F24" s="10">
        <v>67.62</v>
      </c>
      <c r="G24" s="10">
        <f t="shared" si="1"/>
        <v>27.048</v>
      </c>
      <c r="H24" s="10">
        <f t="shared" si="2"/>
        <v>66.468</v>
      </c>
      <c r="I24" s="9" t="s">
        <v>10</v>
      </c>
    </row>
    <row r="25" s="1" customFormat="1" ht="31" customHeight="1" spans="1:9">
      <c r="A25" s="7">
        <v>23</v>
      </c>
      <c r="B25" s="7" t="str">
        <f>"15003024206"</f>
        <v>15003024206</v>
      </c>
      <c r="C25" s="7" t="str">
        <f>"王杰"</f>
        <v>王杰</v>
      </c>
      <c r="D25" s="7">
        <f>VLOOKUP(B25,'[1]03-鄂尔多斯市籍男岗'!$C$3:$E$90,3,FALSE)</f>
        <v>64.7</v>
      </c>
      <c r="E25" s="8">
        <f t="shared" si="0"/>
        <v>38.82</v>
      </c>
      <c r="F25" s="8">
        <v>67.18</v>
      </c>
      <c r="G25" s="8">
        <f t="shared" si="1"/>
        <v>26.872</v>
      </c>
      <c r="H25" s="8">
        <f t="shared" si="2"/>
        <v>65.692</v>
      </c>
      <c r="I25" s="7" t="s">
        <v>10</v>
      </c>
    </row>
    <row r="26" s="1" customFormat="1" ht="31" customHeight="1" spans="1:9">
      <c r="A26" s="9">
        <v>24</v>
      </c>
      <c r="B26" s="9" t="str">
        <f>"15003023206"</f>
        <v>15003023206</v>
      </c>
      <c r="C26" s="9" t="str">
        <f>"李瑞峰"</f>
        <v>李瑞峰</v>
      </c>
      <c r="D26" s="9">
        <f>VLOOKUP(B26,'[1]03-鄂尔多斯市籍男岗'!$C$3:$E$90,3,FALSE)</f>
        <v>58.1</v>
      </c>
      <c r="E26" s="10">
        <f t="shared" si="0"/>
        <v>34.86</v>
      </c>
      <c r="F26" s="10">
        <v>76.22</v>
      </c>
      <c r="G26" s="10">
        <f t="shared" si="1"/>
        <v>30.488</v>
      </c>
      <c r="H26" s="10">
        <f t="shared" si="2"/>
        <v>65.348</v>
      </c>
      <c r="I26" s="9" t="s">
        <v>10</v>
      </c>
    </row>
    <row r="27" s="1" customFormat="1" ht="31" customHeight="1" spans="1:9">
      <c r="A27" s="7">
        <v>25</v>
      </c>
      <c r="B27" s="7" t="str">
        <f>"15003022122"</f>
        <v>15003022122</v>
      </c>
      <c r="C27" s="7" t="str">
        <f>"刘向"</f>
        <v>刘向</v>
      </c>
      <c r="D27" s="7">
        <f>VLOOKUP(B27,'[1]03-鄂尔多斯市籍男岗'!$C$3:$E$90,3,FALSE)</f>
        <v>60.5</v>
      </c>
      <c r="E27" s="8">
        <f t="shared" si="0"/>
        <v>36.3</v>
      </c>
      <c r="F27" s="8">
        <v>72.5</v>
      </c>
      <c r="G27" s="8">
        <f t="shared" si="1"/>
        <v>29</v>
      </c>
      <c r="H27" s="8">
        <f t="shared" si="2"/>
        <v>65.3</v>
      </c>
      <c r="I27" s="7" t="s">
        <v>10</v>
      </c>
    </row>
    <row r="28" s="1" customFormat="1" ht="31" customHeight="1" spans="1:9">
      <c r="A28" s="9">
        <v>26</v>
      </c>
      <c r="B28" s="9" t="str">
        <f>"15003022921"</f>
        <v>15003022921</v>
      </c>
      <c r="C28" s="9" t="str">
        <f>"李岗"</f>
        <v>李岗</v>
      </c>
      <c r="D28" s="9">
        <f>VLOOKUP(B28,'[1]03-鄂尔多斯市籍男岗'!$C$3:$E$90,3,FALSE)</f>
        <v>61.8</v>
      </c>
      <c r="E28" s="10">
        <f t="shared" si="0"/>
        <v>37.08</v>
      </c>
      <c r="F28" s="10">
        <v>70.48</v>
      </c>
      <c r="G28" s="10">
        <f t="shared" si="1"/>
        <v>28.192</v>
      </c>
      <c r="H28" s="10">
        <f t="shared" si="2"/>
        <v>65.272</v>
      </c>
      <c r="I28" s="9" t="s">
        <v>11</v>
      </c>
    </row>
    <row r="29" s="1" customFormat="1" ht="31" customHeight="1" spans="1:9">
      <c r="A29" s="7">
        <v>27</v>
      </c>
      <c r="B29" s="7" t="str">
        <f>"15003022518"</f>
        <v>15003022518</v>
      </c>
      <c r="C29" s="7" t="str">
        <f>"王奕渊"</f>
        <v>王奕渊</v>
      </c>
      <c r="D29" s="7">
        <f>VLOOKUP(B29,'[1]03-鄂尔多斯市籍男岗'!$C$3:$E$90,3,FALSE)</f>
        <v>61</v>
      </c>
      <c r="E29" s="8">
        <f t="shared" si="0"/>
        <v>36.6</v>
      </c>
      <c r="F29" s="8">
        <v>70</v>
      </c>
      <c r="G29" s="8">
        <f t="shared" si="1"/>
        <v>28</v>
      </c>
      <c r="H29" s="8">
        <f t="shared" si="2"/>
        <v>64.6</v>
      </c>
      <c r="I29" s="7" t="s">
        <v>11</v>
      </c>
    </row>
    <row r="30" s="1" customFormat="1" ht="31" customHeight="1" spans="1:9">
      <c r="A30" s="9">
        <v>28</v>
      </c>
      <c r="B30" s="9" t="str">
        <f>"15003022606"</f>
        <v>15003022606</v>
      </c>
      <c r="C30" s="9" t="str">
        <f>"高宇田"</f>
        <v>高宇田</v>
      </c>
      <c r="D30" s="9">
        <f>VLOOKUP(B30,'[1]03-鄂尔多斯市籍男岗'!$C$3:$E$90,3,FALSE)</f>
        <v>59.9</v>
      </c>
      <c r="E30" s="10">
        <f t="shared" si="0"/>
        <v>35.94</v>
      </c>
      <c r="F30" s="10">
        <v>71.54</v>
      </c>
      <c r="G30" s="10">
        <f t="shared" si="1"/>
        <v>28.616</v>
      </c>
      <c r="H30" s="10">
        <f t="shared" si="2"/>
        <v>64.556</v>
      </c>
      <c r="I30" s="9" t="s">
        <v>11</v>
      </c>
    </row>
    <row r="31" s="1" customFormat="1" ht="31" customHeight="1" spans="1:9">
      <c r="A31" s="7">
        <v>29</v>
      </c>
      <c r="B31" s="7" t="str">
        <f>"15003023805"</f>
        <v>15003023805</v>
      </c>
      <c r="C31" s="7" t="str">
        <f>"李泽昊"</f>
        <v>李泽昊</v>
      </c>
      <c r="D31" s="7">
        <f>VLOOKUP(B31,'[1]03-鄂尔多斯市籍男岗'!$C$3:$E$90,3,FALSE)</f>
        <v>58.5</v>
      </c>
      <c r="E31" s="8">
        <f t="shared" si="0"/>
        <v>35.1</v>
      </c>
      <c r="F31" s="8">
        <v>72.52</v>
      </c>
      <c r="G31" s="8">
        <f t="shared" si="1"/>
        <v>29.008</v>
      </c>
      <c r="H31" s="8">
        <f t="shared" si="2"/>
        <v>64.108</v>
      </c>
      <c r="I31" s="7" t="s">
        <v>11</v>
      </c>
    </row>
    <row r="32" s="1" customFormat="1" ht="31" customHeight="1" spans="1:9">
      <c r="A32" s="9">
        <v>30</v>
      </c>
      <c r="B32" s="9" t="str">
        <f>"15003022110"</f>
        <v>15003022110</v>
      </c>
      <c r="C32" s="9" t="str">
        <f>"刘子峰"</f>
        <v>刘子峰</v>
      </c>
      <c r="D32" s="9">
        <f>VLOOKUP(B32,'[1]03-鄂尔多斯市籍男岗'!$C$3:$E$90,3,FALSE)</f>
        <v>58.2</v>
      </c>
      <c r="E32" s="10">
        <f t="shared" si="0"/>
        <v>34.92</v>
      </c>
      <c r="F32" s="10">
        <v>72.18</v>
      </c>
      <c r="G32" s="10">
        <f t="shared" si="1"/>
        <v>28.872</v>
      </c>
      <c r="H32" s="10">
        <f t="shared" si="2"/>
        <v>63.792</v>
      </c>
      <c r="I32" s="9" t="s">
        <v>11</v>
      </c>
    </row>
    <row r="33" s="1" customFormat="1" ht="31" customHeight="1" spans="1:9">
      <c r="A33" s="7">
        <v>31</v>
      </c>
      <c r="B33" s="7" t="str">
        <f>"15003022219"</f>
        <v>15003022219</v>
      </c>
      <c r="C33" s="7" t="str">
        <f>"王星宇"</f>
        <v>王星宇</v>
      </c>
      <c r="D33" s="7">
        <f>VLOOKUP(B33,'[1]03-鄂尔多斯市籍男岗'!$C$3:$E$90,3,FALSE)</f>
        <v>57.3</v>
      </c>
      <c r="E33" s="8">
        <f t="shared" si="0"/>
        <v>34.38</v>
      </c>
      <c r="F33" s="8">
        <v>73.04</v>
      </c>
      <c r="G33" s="8">
        <f t="shared" si="1"/>
        <v>29.216</v>
      </c>
      <c r="H33" s="8">
        <f t="shared" si="2"/>
        <v>63.596</v>
      </c>
      <c r="I33" s="7" t="s">
        <v>11</v>
      </c>
    </row>
    <row r="34" s="1" customFormat="1" ht="31" customHeight="1" spans="1:9">
      <c r="A34" s="9">
        <v>32</v>
      </c>
      <c r="B34" s="9" t="str">
        <f>"15003022502"</f>
        <v>15003022502</v>
      </c>
      <c r="C34" s="9" t="str">
        <f>"王耀禄"</f>
        <v>王耀禄</v>
      </c>
      <c r="D34" s="9">
        <f>VLOOKUP(B34,'[1]03-鄂尔多斯市籍男岗'!$C$3:$E$90,3,FALSE)</f>
        <v>58.9</v>
      </c>
      <c r="E34" s="10">
        <f t="shared" si="0"/>
        <v>35.34</v>
      </c>
      <c r="F34" s="10">
        <v>70.08</v>
      </c>
      <c r="G34" s="10">
        <f t="shared" si="1"/>
        <v>28.032</v>
      </c>
      <c r="H34" s="10">
        <f t="shared" si="2"/>
        <v>63.372</v>
      </c>
      <c r="I34" s="9" t="s">
        <v>11</v>
      </c>
    </row>
    <row r="35" s="1" customFormat="1" ht="31" customHeight="1" spans="1:9">
      <c r="A35" s="7">
        <v>33</v>
      </c>
      <c r="B35" s="7" t="str">
        <f>"15003021827"</f>
        <v>15003021827</v>
      </c>
      <c r="C35" s="7" t="str">
        <f>"郝云平"</f>
        <v>郝云平</v>
      </c>
      <c r="D35" s="7">
        <f>VLOOKUP(B35,'[1]03-鄂尔多斯市籍男岗'!$C$3:$E$90,3,FALSE)</f>
        <v>59.3</v>
      </c>
      <c r="E35" s="8">
        <f t="shared" si="0"/>
        <v>35.58</v>
      </c>
      <c r="F35" s="8">
        <v>69.34</v>
      </c>
      <c r="G35" s="8">
        <f t="shared" si="1"/>
        <v>27.736</v>
      </c>
      <c r="H35" s="8">
        <f t="shared" si="2"/>
        <v>63.316</v>
      </c>
      <c r="I35" s="7" t="s">
        <v>11</v>
      </c>
    </row>
    <row r="36" s="1" customFormat="1" ht="31" customHeight="1" spans="1:9">
      <c r="A36" s="9">
        <v>34</v>
      </c>
      <c r="B36" s="9" t="str">
        <f>"15003022312"</f>
        <v>15003022312</v>
      </c>
      <c r="C36" s="9" t="str">
        <f>"郝骐瑞"</f>
        <v>郝骐瑞</v>
      </c>
      <c r="D36" s="9">
        <f>VLOOKUP(B36,'[1]03-鄂尔多斯市籍男岗'!$C$3:$E$90,3,FALSE)</f>
        <v>58</v>
      </c>
      <c r="E36" s="10">
        <f t="shared" si="0"/>
        <v>34.8</v>
      </c>
      <c r="F36" s="10">
        <v>71.18</v>
      </c>
      <c r="G36" s="10">
        <f t="shared" si="1"/>
        <v>28.472</v>
      </c>
      <c r="H36" s="10">
        <f t="shared" si="2"/>
        <v>63.272</v>
      </c>
      <c r="I36" s="9" t="s">
        <v>11</v>
      </c>
    </row>
    <row r="37" s="1" customFormat="1" ht="31" customHeight="1" spans="1:9">
      <c r="A37" s="7">
        <v>35</v>
      </c>
      <c r="B37" s="7" t="str">
        <f>"15003021726"</f>
        <v>15003021726</v>
      </c>
      <c r="C37" s="7" t="str">
        <f>"呼格吉乐"</f>
        <v>呼格吉乐</v>
      </c>
      <c r="D37" s="7">
        <f>VLOOKUP(B37,'[1]03-鄂尔多斯市籍男岗'!$C$3:$E$90,3,FALSE)</f>
        <v>60.2</v>
      </c>
      <c r="E37" s="8">
        <f t="shared" si="0"/>
        <v>36.12</v>
      </c>
      <c r="F37" s="8">
        <v>67.5</v>
      </c>
      <c r="G37" s="8">
        <f t="shared" si="1"/>
        <v>27</v>
      </c>
      <c r="H37" s="8">
        <f t="shared" si="2"/>
        <v>63.12</v>
      </c>
      <c r="I37" s="7" t="s">
        <v>11</v>
      </c>
    </row>
    <row r="38" s="1" customFormat="1" ht="31" customHeight="1" spans="1:9">
      <c r="A38" s="9">
        <v>36</v>
      </c>
      <c r="B38" s="9" t="str">
        <f>"15003023117"</f>
        <v>15003023117</v>
      </c>
      <c r="C38" s="9" t="str">
        <f>"王璞"</f>
        <v>王璞</v>
      </c>
      <c r="D38" s="9">
        <f>VLOOKUP(B38,'[1]03-鄂尔多斯市籍男岗'!$C$3:$E$90,3,FALSE)</f>
        <v>57.2</v>
      </c>
      <c r="E38" s="10">
        <f t="shared" si="0"/>
        <v>34.32</v>
      </c>
      <c r="F38" s="10">
        <v>71.92</v>
      </c>
      <c r="G38" s="10">
        <f t="shared" si="1"/>
        <v>28.768</v>
      </c>
      <c r="H38" s="10">
        <f t="shared" si="2"/>
        <v>63.088</v>
      </c>
      <c r="I38" s="9" t="s">
        <v>11</v>
      </c>
    </row>
    <row r="39" s="1" customFormat="1" ht="31" customHeight="1" spans="1:9">
      <c r="A39" s="7">
        <v>37</v>
      </c>
      <c r="B39" s="7" t="str">
        <f>"15003023816"</f>
        <v>15003023816</v>
      </c>
      <c r="C39" s="7" t="str">
        <f>"郭鹏"</f>
        <v>郭鹏</v>
      </c>
      <c r="D39" s="7">
        <f>VLOOKUP(B39,'[1]03-鄂尔多斯市籍男岗'!$C$3:$E$90,3,FALSE)</f>
        <v>59.7</v>
      </c>
      <c r="E39" s="8">
        <f t="shared" si="0"/>
        <v>35.82</v>
      </c>
      <c r="F39" s="8">
        <v>68.06</v>
      </c>
      <c r="G39" s="8">
        <f t="shared" si="1"/>
        <v>27.224</v>
      </c>
      <c r="H39" s="8">
        <f t="shared" si="2"/>
        <v>63.044</v>
      </c>
      <c r="I39" s="7" t="s">
        <v>11</v>
      </c>
    </row>
    <row r="40" s="1" customFormat="1" ht="31" customHeight="1" spans="1:9">
      <c r="A40" s="9">
        <v>38</v>
      </c>
      <c r="B40" s="9" t="str">
        <f>"15003021910"</f>
        <v>15003021910</v>
      </c>
      <c r="C40" s="9" t="str">
        <f>"赵飞云"</f>
        <v>赵飞云</v>
      </c>
      <c r="D40" s="9">
        <f>VLOOKUP(B40,'[1]03-鄂尔多斯市籍男岗'!$C$3:$E$90,3,FALSE)</f>
        <v>57.6</v>
      </c>
      <c r="E40" s="10">
        <f t="shared" si="0"/>
        <v>34.56</v>
      </c>
      <c r="F40" s="10">
        <v>70.88</v>
      </c>
      <c r="G40" s="10">
        <f t="shared" si="1"/>
        <v>28.352</v>
      </c>
      <c r="H40" s="10">
        <f t="shared" si="2"/>
        <v>62.912</v>
      </c>
      <c r="I40" s="9" t="s">
        <v>11</v>
      </c>
    </row>
    <row r="41" s="1" customFormat="1" ht="31" customHeight="1" spans="1:9">
      <c r="A41" s="7">
        <v>39</v>
      </c>
      <c r="B41" s="7" t="str">
        <f>"15003022425"</f>
        <v>15003022425</v>
      </c>
      <c r="C41" s="7" t="str">
        <f>"任耀飞"</f>
        <v>任耀飞</v>
      </c>
      <c r="D41" s="7">
        <f>VLOOKUP(B41,'[1]03-鄂尔多斯市籍男岗'!$C$3:$E$90,3,FALSE)</f>
        <v>57.5</v>
      </c>
      <c r="E41" s="8">
        <f t="shared" si="0"/>
        <v>34.5</v>
      </c>
      <c r="F41" s="8">
        <v>70.94</v>
      </c>
      <c r="G41" s="8">
        <f t="shared" si="1"/>
        <v>28.376</v>
      </c>
      <c r="H41" s="8">
        <f t="shared" si="2"/>
        <v>62.876</v>
      </c>
      <c r="I41" s="7" t="s">
        <v>11</v>
      </c>
    </row>
    <row r="42" s="1" customFormat="1" ht="31" customHeight="1" spans="1:9">
      <c r="A42" s="9">
        <v>40</v>
      </c>
      <c r="B42" s="9" t="str">
        <f>"15003022315"</f>
        <v>15003022315</v>
      </c>
      <c r="C42" s="9" t="str">
        <f>"郝旭东"</f>
        <v>郝旭东</v>
      </c>
      <c r="D42" s="9">
        <f>VLOOKUP(B42,'[1]03-鄂尔多斯市籍男岗'!$C$3:$E$90,3,FALSE)</f>
        <v>59.6</v>
      </c>
      <c r="E42" s="10">
        <f t="shared" si="0"/>
        <v>35.76</v>
      </c>
      <c r="F42" s="10">
        <v>67.68</v>
      </c>
      <c r="G42" s="10">
        <f t="shared" si="1"/>
        <v>27.072</v>
      </c>
      <c r="H42" s="10">
        <f t="shared" si="2"/>
        <v>62.832</v>
      </c>
      <c r="I42" s="9" t="s">
        <v>11</v>
      </c>
    </row>
    <row r="43" s="1" customFormat="1" ht="31" customHeight="1" spans="1:9">
      <c r="A43" s="7">
        <v>41</v>
      </c>
      <c r="B43" s="7" t="str">
        <f>"15003024112"</f>
        <v>15003024112</v>
      </c>
      <c r="C43" s="7" t="str">
        <f>"张耀华"</f>
        <v>张耀华</v>
      </c>
      <c r="D43" s="7">
        <f>VLOOKUP(B43,'[1]03-鄂尔多斯市籍男岗'!$C$3:$E$90,3,FALSE)</f>
        <v>58.8</v>
      </c>
      <c r="E43" s="8">
        <f t="shared" si="0"/>
        <v>35.28</v>
      </c>
      <c r="F43" s="8">
        <v>68.8</v>
      </c>
      <c r="G43" s="8">
        <f t="shared" si="1"/>
        <v>27.52</v>
      </c>
      <c r="H43" s="8">
        <f t="shared" si="2"/>
        <v>62.8</v>
      </c>
      <c r="I43" s="7" t="s">
        <v>11</v>
      </c>
    </row>
    <row r="44" s="1" customFormat="1" ht="31" customHeight="1" spans="1:9">
      <c r="A44" s="9">
        <v>42</v>
      </c>
      <c r="B44" s="9" t="str">
        <f>"15003022823"</f>
        <v>15003022823</v>
      </c>
      <c r="C44" s="9" t="str">
        <f>"张琐"</f>
        <v>张琐</v>
      </c>
      <c r="D44" s="9">
        <f>VLOOKUP(B44,'[1]03-鄂尔多斯市籍男岗'!$C$3:$E$90,3,FALSE)</f>
        <v>60.7</v>
      </c>
      <c r="E44" s="10">
        <f t="shared" si="0"/>
        <v>36.42</v>
      </c>
      <c r="F44" s="10">
        <v>65.74</v>
      </c>
      <c r="G44" s="10">
        <f t="shared" si="1"/>
        <v>26.296</v>
      </c>
      <c r="H44" s="10">
        <f t="shared" si="2"/>
        <v>62.716</v>
      </c>
      <c r="I44" s="9" t="s">
        <v>11</v>
      </c>
    </row>
    <row r="45" s="1" customFormat="1" ht="31" customHeight="1" spans="1:9">
      <c r="A45" s="7">
        <v>43</v>
      </c>
      <c r="B45" s="7" t="str">
        <f>"15003021715"</f>
        <v>15003021715</v>
      </c>
      <c r="C45" s="7" t="str">
        <f>"魏熠辉"</f>
        <v>魏熠辉</v>
      </c>
      <c r="D45" s="7">
        <f>VLOOKUP(B45,'[1]03-鄂尔多斯市籍男岗'!$C$3:$E$90,3,FALSE)</f>
        <v>58.1</v>
      </c>
      <c r="E45" s="8">
        <f t="shared" si="0"/>
        <v>34.86</v>
      </c>
      <c r="F45" s="8">
        <v>69.62</v>
      </c>
      <c r="G45" s="8">
        <f t="shared" si="1"/>
        <v>27.848</v>
      </c>
      <c r="H45" s="8">
        <f t="shared" si="2"/>
        <v>62.708</v>
      </c>
      <c r="I45" s="7" t="s">
        <v>11</v>
      </c>
    </row>
    <row r="46" s="1" customFormat="1" ht="31" customHeight="1" spans="1:9">
      <c r="A46" s="9">
        <v>44</v>
      </c>
      <c r="B46" s="9" t="str">
        <f>"15003023908"</f>
        <v>15003023908</v>
      </c>
      <c r="C46" s="9" t="str">
        <f>"赵鑫"</f>
        <v>赵鑫</v>
      </c>
      <c r="D46" s="9">
        <f>VLOOKUP(B46,'[1]03-鄂尔多斯市籍男岗'!$C$3:$E$90,3,FALSE)</f>
        <v>55.1</v>
      </c>
      <c r="E46" s="10">
        <f t="shared" si="0"/>
        <v>33.06</v>
      </c>
      <c r="F46" s="10">
        <v>72.57</v>
      </c>
      <c r="G46" s="10">
        <f t="shared" si="1"/>
        <v>29.028</v>
      </c>
      <c r="H46" s="10">
        <f t="shared" si="2"/>
        <v>62.088</v>
      </c>
      <c r="I46" s="9" t="s">
        <v>11</v>
      </c>
    </row>
    <row r="47" s="1" customFormat="1" ht="31" customHeight="1" spans="1:9">
      <c r="A47" s="7">
        <v>45</v>
      </c>
      <c r="B47" s="7" t="str">
        <f>"15003023910"</f>
        <v>15003023910</v>
      </c>
      <c r="C47" s="7" t="str">
        <f>"靳建国"</f>
        <v>靳建国</v>
      </c>
      <c r="D47" s="7">
        <f>VLOOKUP(B47,'[1]03-鄂尔多斯市籍男岗'!$C$3:$E$90,3,FALSE)</f>
        <v>55.5</v>
      </c>
      <c r="E47" s="8">
        <f t="shared" si="0"/>
        <v>33.3</v>
      </c>
      <c r="F47" s="8">
        <v>71.5</v>
      </c>
      <c r="G47" s="8">
        <f t="shared" si="1"/>
        <v>28.6</v>
      </c>
      <c r="H47" s="8">
        <f t="shared" si="2"/>
        <v>61.9</v>
      </c>
      <c r="I47" s="7" t="s">
        <v>11</v>
      </c>
    </row>
    <row r="48" s="1" customFormat="1" ht="31" customHeight="1" spans="1:9">
      <c r="A48" s="9">
        <v>46</v>
      </c>
      <c r="B48" s="9" t="str">
        <f>"15003023313"</f>
        <v>15003023313</v>
      </c>
      <c r="C48" s="9" t="str">
        <f>"贾天"</f>
        <v>贾天</v>
      </c>
      <c r="D48" s="9">
        <f>VLOOKUP(B48,'[1]03-鄂尔多斯市籍男岗'!$C$3:$E$90,3,FALSE)</f>
        <v>58.4</v>
      </c>
      <c r="E48" s="10">
        <f t="shared" si="0"/>
        <v>35.04</v>
      </c>
      <c r="F48" s="10">
        <v>67.12</v>
      </c>
      <c r="G48" s="10">
        <f t="shared" si="1"/>
        <v>26.848</v>
      </c>
      <c r="H48" s="10">
        <f t="shared" si="2"/>
        <v>61.888</v>
      </c>
      <c r="I48" s="9" t="s">
        <v>11</v>
      </c>
    </row>
    <row r="49" s="1" customFormat="1" ht="31" customHeight="1" spans="1:9">
      <c r="A49" s="7">
        <v>47</v>
      </c>
      <c r="B49" s="7" t="str">
        <f>"15003022624"</f>
        <v>15003022624</v>
      </c>
      <c r="C49" s="7" t="str">
        <f>"王轩"</f>
        <v>王轩</v>
      </c>
      <c r="D49" s="7">
        <f>VLOOKUP(B49,'[1]03-鄂尔多斯市籍男岗'!$C$3:$E$90,3,FALSE)</f>
        <v>55.7</v>
      </c>
      <c r="E49" s="8">
        <f t="shared" si="0"/>
        <v>33.42</v>
      </c>
      <c r="F49" s="8">
        <v>71.06</v>
      </c>
      <c r="G49" s="8">
        <f t="shared" si="1"/>
        <v>28.424</v>
      </c>
      <c r="H49" s="8">
        <f t="shared" si="2"/>
        <v>61.844</v>
      </c>
      <c r="I49" s="7" t="s">
        <v>11</v>
      </c>
    </row>
    <row r="50" s="1" customFormat="1" ht="31" customHeight="1" spans="1:9">
      <c r="A50" s="9">
        <v>48</v>
      </c>
      <c r="B50" s="9" t="str">
        <f>"15003022209"</f>
        <v>15003022209</v>
      </c>
      <c r="C50" s="9" t="str">
        <f>"云浩"</f>
        <v>云浩</v>
      </c>
      <c r="D50" s="9">
        <f>VLOOKUP(B50,'[1]03-鄂尔多斯市籍男岗'!$C$3:$E$90,3,FALSE)</f>
        <v>59.3</v>
      </c>
      <c r="E50" s="10">
        <f t="shared" si="0"/>
        <v>35.58</v>
      </c>
      <c r="F50" s="10">
        <v>65.38</v>
      </c>
      <c r="G50" s="10">
        <f t="shared" si="1"/>
        <v>26.152</v>
      </c>
      <c r="H50" s="10">
        <f t="shared" si="2"/>
        <v>61.732</v>
      </c>
      <c r="I50" s="9" t="s">
        <v>11</v>
      </c>
    </row>
    <row r="51" s="1" customFormat="1" ht="31" customHeight="1" spans="1:9">
      <c r="A51" s="7">
        <v>49</v>
      </c>
      <c r="B51" s="7" t="str">
        <f>"15003023220"</f>
        <v>15003023220</v>
      </c>
      <c r="C51" s="7" t="str">
        <f>"曹正明"</f>
        <v>曹正明</v>
      </c>
      <c r="D51" s="7">
        <f>VLOOKUP(B51,'[1]03-鄂尔多斯市籍男岗'!$C$3:$E$90,3,FALSE)</f>
        <v>56.1</v>
      </c>
      <c r="E51" s="8">
        <f t="shared" si="0"/>
        <v>33.66</v>
      </c>
      <c r="F51" s="8">
        <v>69.58</v>
      </c>
      <c r="G51" s="8">
        <f t="shared" si="1"/>
        <v>27.832</v>
      </c>
      <c r="H51" s="8">
        <f t="shared" si="2"/>
        <v>61.492</v>
      </c>
      <c r="I51" s="7" t="s">
        <v>11</v>
      </c>
    </row>
    <row r="52" s="1" customFormat="1" ht="31" customHeight="1" spans="1:9">
      <c r="A52" s="9">
        <v>50</v>
      </c>
      <c r="B52" s="9" t="str">
        <f>"15003023812"</f>
        <v>15003023812</v>
      </c>
      <c r="C52" s="9" t="str">
        <f>"李弘奇"</f>
        <v>李弘奇</v>
      </c>
      <c r="D52" s="9">
        <f>VLOOKUP(B52,'[1]03-鄂尔多斯市籍男岗'!$C$3:$E$90,3,FALSE)</f>
        <v>54.5</v>
      </c>
      <c r="E52" s="10">
        <f t="shared" si="0"/>
        <v>32.7</v>
      </c>
      <c r="F52" s="10">
        <v>71.78</v>
      </c>
      <c r="G52" s="10">
        <f t="shared" si="1"/>
        <v>28.712</v>
      </c>
      <c r="H52" s="10">
        <f t="shared" si="2"/>
        <v>61.412</v>
      </c>
      <c r="I52" s="9" t="s">
        <v>11</v>
      </c>
    </row>
    <row r="53" s="1" customFormat="1" ht="31" customHeight="1" spans="1:9">
      <c r="A53" s="7">
        <v>51</v>
      </c>
      <c r="B53" s="7" t="str">
        <f>"15003022318"</f>
        <v>15003022318</v>
      </c>
      <c r="C53" s="7" t="str">
        <f>"乔保龙"</f>
        <v>乔保龙</v>
      </c>
      <c r="D53" s="7">
        <f>VLOOKUP(B53,'[1]03-鄂尔多斯市籍男岗'!$C$3:$E$90,3,FALSE)</f>
        <v>55</v>
      </c>
      <c r="E53" s="8">
        <f t="shared" si="0"/>
        <v>33</v>
      </c>
      <c r="F53" s="8">
        <v>70.28</v>
      </c>
      <c r="G53" s="8">
        <f t="shared" si="1"/>
        <v>28.112</v>
      </c>
      <c r="H53" s="8">
        <f t="shared" si="2"/>
        <v>61.112</v>
      </c>
      <c r="I53" s="7" t="s">
        <v>11</v>
      </c>
    </row>
    <row r="54" s="1" customFormat="1" ht="31" customHeight="1" spans="1:9">
      <c r="A54" s="9">
        <v>52</v>
      </c>
      <c r="B54" s="9" t="str">
        <f>"15003022422"</f>
        <v>15003022422</v>
      </c>
      <c r="C54" s="9" t="str">
        <f>"王旭东"</f>
        <v>王旭东</v>
      </c>
      <c r="D54" s="9">
        <f>VLOOKUP(B54,'[1]03-鄂尔多斯市籍男岗'!$C$3:$E$90,3,FALSE)</f>
        <v>54.8</v>
      </c>
      <c r="E54" s="10">
        <f t="shared" si="0"/>
        <v>32.88</v>
      </c>
      <c r="F54" s="10">
        <v>70.52</v>
      </c>
      <c r="G54" s="10">
        <f t="shared" si="1"/>
        <v>28.208</v>
      </c>
      <c r="H54" s="10">
        <f t="shared" si="2"/>
        <v>61.088</v>
      </c>
      <c r="I54" s="9" t="s">
        <v>11</v>
      </c>
    </row>
    <row r="55" s="1" customFormat="1" ht="31" customHeight="1" spans="1:9">
      <c r="A55" s="7">
        <v>53</v>
      </c>
      <c r="B55" s="7" t="str">
        <f>"15003023002"</f>
        <v>15003023002</v>
      </c>
      <c r="C55" s="7" t="str">
        <f>"姬苏洋"</f>
        <v>姬苏洋</v>
      </c>
      <c r="D55" s="7">
        <f>VLOOKUP(B55,'[1]03-鄂尔多斯市籍男岗'!$C$3:$E$90,3,FALSE)</f>
        <v>53.1</v>
      </c>
      <c r="E55" s="8">
        <f t="shared" si="0"/>
        <v>31.86</v>
      </c>
      <c r="F55" s="8">
        <v>73.06</v>
      </c>
      <c r="G55" s="8">
        <f t="shared" si="1"/>
        <v>29.224</v>
      </c>
      <c r="H55" s="8">
        <f t="shared" si="2"/>
        <v>61.084</v>
      </c>
      <c r="I55" s="7" t="s">
        <v>11</v>
      </c>
    </row>
    <row r="56" s="1" customFormat="1" ht="31" customHeight="1" spans="1:9">
      <c r="A56" s="9">
        <v>54</v>
      </c>
      <c r="B56" s="9" t="str">
        <f>"15003024110"</f>
        <v>15003024110</v>
      </c>
      <c r="C56" s="9" t="str">
        <f>"宋金儒"</f>
        <v>宋金儒</v>
      </c>
      <c r="D56" s="9">
        <f>VLOOKUP(B56,'[1]03-鄂尔多斯市籍男岗'!$C$3:$E$90,3,FALSE)</f>
        <v>54.2</v>
      </c>
      <c r="E56" s="10">
        <f t="shared" si="0"/>
        <v>32.52</v>
      </c>
      <c r="F56" s="10">
        <v>71.38</v>
      </c>
      <c r="G56" s="10">
        <f t="shared" si="1"/>
        <v>28.552</v>
      </c>
      <c r="H56" s="10">
        <f t="shared" si="2"/>
        <v>61.072</v>
      </c>
      <c r="I56" s="9" t="s">
        <v>11</v>
      </c>
    </row>
    <row r="57" s="1" customFormat="1" ht="31" customHeight="1" spans="1:9">
      <c r="A57" s="7">
        <v>55</v>
      </c>
      <c r="B57" s="7" t="str">
        <f>"15003023504"</f>
        <v>15003023504</v>
      </c>
      <c r="C57" s="7" t="str">
        <f>"郑腾飞"</f>
        <v>郑腾飞</v>
      </c>
      <c r="D57" s="7">
        <f>VLOOKUP(B57,'[1]03-鄂尔多斯市籍男岗'!$C$3:$E$90,3,FALSE)</f>
        <v>54.4</v>
      </c>
      <c r="E57" s="8">
        <f t="shared" si="0"/>
        <v>32.64</v>
      </c>
      <c r="F57" s="8">
        <v>70.64</v>
      </c>
      <c r="G57" s="8">
        <f t="shared" si="1"/>
        <v>28.256</v>
      </c>
      <c r="H57" s="8">
        <f t="shared" si="2"/>
        <v>60.896</v>
      </c>
      <c r="I57" s="7" t="s">
        <v>11</v>
      </c>
    </row>
    <row r="58" s="1" customFormat="1" ht="31" customHeight="1" spans="1:9">
      <c r="A58" s="9">
        <v>56</v>
      </c>
      <c r="B58" s="9" t="str">
        <f>"15003022207"</f>
        <v>15003022207</v>
      </c>
      <c r="C58" s="9" t="str">
        <f>"马俊卿"</f>
        <v>马俊卿</v>
      </c>
      <c r="D58" s="9">
        <f>VLOOKUP(B58,'[1]03-鄂尔多斯市籍男岗'!$C$3:$E$90,3,FALSE)</f>
        <v>54.9</v>
      </c>
      <c r="E58" s="10">
        <f t="shared" si="0"/>
        <v>32.94</v>
      </c>
      <c r="F58" s="10">
        <v>69.88</v>
      </c>
      <c r="G58" s="10">
        <f t="shared" si="1"/>
        <v>27.952</v>
      </c>
      <c r="H58" s="10">
        <f t="shared" si="2"/>
        <v>60.892</v>
      </c>
      <c r="I58" s="9" t="s">
        <v>11</v>
      </c>
    </row>
    <row r="59" s="1" customFormat="1" ht="31" customHeight="1" spans="1:9">
      <c r="A59" s="7">
        <v>57</v>
      </c>
      <c r="B59" s="7" t="str">
        <f>"15003023629"</f>
        <v>15003023629</v>
      </c>
      <c r="C59" s="7" t="str">
        <f>"杨泽智"</f>
        <v>杨泽智</v>
      </c>
      <c r="D59" s="7">
        <f>VLOOKUP(B59,'[1]03-鄂尔多斯市籍男岗'!$C$3:$E$90,3,FALSE)</f>
        <v>53.2</v>
      </c>
      <c r="E59" s="8">
        <f t="shared" si="0"/>
        <v>31.92</v>
      </c>
      <c r="F59" s="8">
        <v>72.14</v>
      </c>
      <c r="G59" s="8">
        <f t="shared" si="1"/>
        <v>28.856</v>
      </c>
      <c r="H59" s="8">
        <f t="shared" si="2"/>
        <v>60.776</v>
      </c>
      <c r="I59" s="7" t="s">
        <v>11</v>
      </c>
    </row>
    <row r="60" s="1" customFormat="1" ht="31" customHeight="1" spans="1:9">
      <c r="A60" s="9">
        <v>58</v>
      </c>
      <c r="B60" s="9" t="str">
        <f>"15003022105"</f>
        <v>15003022105</v>
      </c>
      <c r="C60" s="9" t="str">
        <f>"张钰兵"</f>
        <v>张钰兵</v>
      </c>
      <c r="D60" s="9">
        <f>VLOOKUP(B60,'[1]03-鄂尔多斯市籍男岗'!$C$3:$E$90,3,FALSE)</f>
        <v>54.3</v>
      </c>
      <c r="E60" s="10">
        <f t="shared" si="0"/>
        <v>32.58</v>
      </c>
      <c r="F60" s="10">
        <v>70.38</v>
      </c>
      <c r="G60" s="10">
        <f t="shared" si="1"/>
        <v>28.152</v>
      </c>
      <c r="H60" s="10">
        <f t="shared" si="2"/>
        <v>60.732</v>
      </c>
      <c r="I60" s="9" t="s">
        <v>11</v>
      </c>
    </row>
    <row r="61" s="1" customFormat="1" ht="31" customHeight="1" spans="1:9">
      <c r="A61" s="7">
        <v>59</v>
      </c>
      <c r="B61" s="7" t="str">
        <f>"15003021624"</f>
        <v>15003021624</v>
      </c>
      <c r="C61" s="7" t="str">
        <f>"韩凯"</f>
        <v>韩凯</v>
      </c>
      <c r="D61" s="7">
        <f>VLOOKUP(B61,'[1]03-鄂尔多斯市籍男岗'!$C$3:$E$90,3,FALSE)</f>
        <v>54.9</v>
      </c>
      <c r="E61" s="8">
        <f t="shared" si="0"/>
        <v>32.94</v>
      </c>
      <c r="F61" s="8">
        <v>68.8</v>
      </c>
      <c r="G61" s="8">
        <f t="shared" si="1"/>
        <v>27.52</v>
      </c>
      <c r="H61" s="8">
        <f t="shared" si="2"/>
        <v>60.46</v>
      </c>
      <c r="I61" s="7" t="s">
        <v>11</v>
      </c>
    </row>
    <row r="62" s="1" customFormat="1" ht="31" customHeight="1" spans="1:9">
      <c r="A62" s="9">
        <v>60</v>
      </c>
      <c r="B62" s="9" t="str">
        <f>"15003022919"</f>
        <v>15003022919</v>
      </c>
      <c r="C62" s="9" t="str">
        <f>"乔乐"</f>
        <v>乔乐</v>
      </c>
      <c r="D62" s="9">
        <f>VLOOKUP(B62,'[1]03-鄂尔多斯市籍男岗'!$C$3:$E$90,3,FALSE)</f>
        <v>55.4</v>
      </c>
      <c r="E62" s="10">
        <f t="shared" si="0"/>
        <v>33.24</v>
      </c>
      <c r="F62" s="10">
        <v>67.98</v>
      </c>
      <c r="G62" s="10">
        <f t="shared" si="1"/>
        <v>27.192</v>
      </c>
      <c r="H62" s="10">
        <f t="shared" si="2"/>
        <v>60.432</v>
      </c>
      <c r="I62" s="9" t="s">
        <v>11</v>
      </c>
    </row>
    <row r="63" s="1" customFormat="1" ht="31" customHeight="1" spans="1:9">
      <c r="A63" s="7">
        <v>61</v>
      </c>
      <c r="B63" s="7" t="str">
        <f>"15003022009"</f>
        <v>15003022009</v>
      </c>
      <c r="C63" s="7" t="str">
        <f>"武號敦"</f>
        <v>武號敦</v>
      </c>
      <c r="D63" s="7">
        <f>VLOOKUP(B63,'[1]03-鄂尔多斯市籍男岗'!$C$3:$E$90,3,FALSE)</f>
        <v>54.2</v>
      </c>
      <c r="E63" s="8">
        <f t="shared" si="0"/>
        <v>32.52</v>
      </c>
      <c r="F63" s="8">
        <v>69.4</v>
      </c>
      <c r="G63" s="8">
        <f t="shared" si="1"/>
        <v>27.76</v>
      </c>
      <c r="H63" s="8">
        <f t="shared" si="2"/>
        <v>60.28</v>
      </c>
      <c r="I63" s="7" t="s">
        <v>11</v>
      </c>
    </row>
    <row r="64" s="1" customFormat="1" ht="31" customHeight="1" spans="1:9">
      <c r="A64" s="9">
        <v>62</v>
      </c>
      <c r="B64" s="9" t="str">
        <f>"15003022705"</f>
        <v>15003022705</v>
      </c>
      <c r="C64" s="9" t="str">
        <f>"康琛越"</f>
        <v>康琛越</v>
      </c>
      <c r="D64" s="9">
        <f>VLOOKUP(B64,'[1]03-鄂尔多斯市籍男岗'!$C$3:$E$90,3,FALSE)</f>
        <v>53.9</v>
      </c>
      <c r="E64" s="10">
        <f t="shared" si="0"/>
        <v>32.34</v>
      </c>
      <c r="F64" s="10">
        <v>69.62</v>
      </c>
      <c r="G64" s="10">
        <f t="shared" si="1"/>
        <v>27.848</v>
      </c>
      <c r="H64" s="10">
        <f t="shared" si="2"/>
        <v>60.188</v>
      </c>
      <c r="I64" s="9" t="s">
        <v>11</v>
      </c>
    </row>
    <row r="65" s="1" customFormat="1" ht="31" customHeight="1" spans="1:9">
      <c r="A65" s="7">
        <v>63</v>
      </c>
      <c r="B65" s="7">
        <v>15003022020</v>
      </c>
      <c r="C65" s="7" t="s">
        <v>17</v>
      </c>
      <c r="D65" s="7">
        <v>52.8</v>
      </c>
      <c r="E65" s="8">
        <f t="shared" si="0"/>
        <v>31.68</v>
      </c>
      <c r="F65" s="8">
        <v>71.12</v>
      </c>
      <c r="G65" s="8">
        <f t="shared" si="1"/>
        <v>28.448</v>
      </c>
      <c r="H65" s="8">
        <f t="shared" si="2"/>
        <v>60.128</v>
      </c>
      <c r="I65" s="7" t="s">
        <v>11</v>
      </c>
    </row>
    <row r="66" s="1" customFormat="1" ht="31" customHeight="1" spans="1:9">
      <c r="A66" s="9">
        <v>64</v>
      </c>
      <c r="B66" s="9" t="str">
        <f>"15003021713"</f>
        <v>15003021713</v>
      </c>
      <c r="C66" s="9" t="str">
        <f>"李磊"</f>
        <v>李磊</v>
      </c>
      <c r="D66" s="9">
        <f>VLOOKUP(B66,'[1]03-鄂尔多斯市籍男岗'!$C$3:$E$90,3,FALSE)</f>
        <v>52.8</v>
      </c>
      <c r="E66" s="10">
        <f t="shared" si="0"/>
        <v>31.68</v>
      </c>
      <c r="F66" s="10">
        <v>70.66</v>
      </c>
      <c r="G66" s="10">
        <f t="shared" si="1"/>
        <v>28.264</v>
      </c>
      <c r="H66" s="10">
        <f t="shared" si="2"/>
        <v>59.944</v>
      </c>
      <c r="I66" s="9" t="s">
        <v>11</v>
      </c>
    </row>
    <row r="67" s="1" customFormat="1" ht="31" customHeight="1" spans="1:9">
      <c r="A67" s="7">
        <v>65</v>
      </c>
      <c r="B67" s="7" t="str">
        <f>"15003023314"</f>
        <v>15003023314</v>
      </c>
      <c r="C67" s="7" t="str">
        <f>"郭德伟"</f>
        <v>郭德伟</v>
      </c>
      <c r="D67" s="7">
        <f>VLOOKUP(B67,'[1]03-鄂尔多斯市籍男岗'!$C$3:$E$90,3,FALSE)</f>
        <v>52.9</v>
      </c>
      <c r="E67" s="8">
        <f t="shared" ref="E67:E79" si="3">D67*0.6</f>
        <v>31.74</v>
      </c>
      <c r="F67" s="8">
        <v>70.18</v>
      </c>
      <c r="G67" s="8">
        <f t="shared" ref="G67:G79" si="4">F67*0.4</f>
        <v>28.072</v>
      </c>
      <c r="H67" s="8">
        <f t="shared" ref="H67:H79" si="5">E67+G67</f>
        <v>59.812</v>
      </c>
      <c r="I67" s="7" t="s">
        <v>11</v>
      </c>
    </row>
    <row r="68" s="1" customFormat="1" ht="31" customHeight="1" spans="1:9">
      <c r="A68" s="9">
        <v>66</v>
      </c>
      <c r="B68" s="9" t="str">
        <f>"15003022609"</f>
        <v>15003022609</v>
      </c>
      <c r="C68" s="9" t="str">
        <f>"青哈"</f>
        <v>青哈</v>
      </c>
      <c r="D68" s="9">
        <f>VLOOKUP(B68,'[1]03-鄂尔多斯市籍男岗'!$C$3:$E$90,3,FALSE)</f>
        <v>53.2</v>
      </c>
      <c r="E68" s="10">
        <f t="shared" si="3"/>
        <v>31.92</v>
      </c>
      <c r="F68" s="10">
        <v>69.46</v>
      </c>
      <c r="G68" s="10">
        <f t="shared" si="4"/>
        <v>27.784</v>
      </c>
      <c r="H68" s="10">
        <f t="shared" si="5"/>
        <v>59.704</v>
      </c>
      <c r="I68" s="9" t="s">
        <v>11</v>
      </c>
    </row>
    <row r="69" s="1" customFormat="1" ht="31" customHeight="1" spans="1:9">
      <c r="A69" s="7">
        <v>67</v>
      </c>
      <c r="B69" s="7" t="str">
        <f>"15003023005"</f>
        <v>15003023005</v>
      </c>
      <c r="C69" s="7" t="str">
        <f>"陈杰"</f>
        <v>陈杰</v>
      </c>
      <c r="D69" s="7">
        <f>VLOOKUP(B69,'[1]03-鄂尔多斯市籍男岗'!$C$3:$E$90,3,FALSE)</f>
        <v>54.1</v>
      </c>
      <c r="E69" s="8">
        <f t="shared" si="3"/>
        <v>32.46</v>
      </c>
      <c r="F69" s="8">
        <v>65.74</v>
      </c>
      <c r="G69" s="8">
        <f t="shared" si="4"/>
        <v>26.296</v>
      </c>
      <c r="H69" s="8">
        <f t="shared" si="5"/>
        <v>58.756</v>
      </c>
      <c r="I69" s="7" t="s">
        <v>11</v>
      </c>
    </row>
    <row r="70" s="1" customFormat="1" ht="31" customHeight="1" spans="1:9">
      <c r="A70" s="9">
        <v>68</v>
      </c>
      <c r="B70" s="9" t="str">
        <f>"15003022918"</f>
        <v>15003022918</v>
      </c>
      <c r="C70" s="9" t="str">
        <f>"叶牛牛"</f>
        <v>叶牛牛</v>
      </c>
      <c r="D70" s="9">
        <f>VLOOKUP(B70,'[1]03-鄂尔多斯市籍男岗'!$C$3:$E$90,3,FALSE)</f>
        <v>53.1</v>
      </c>
      <c r="E70" s="10">
        <f t="shared" si="3"/>
        <v>31.86</v>
      </c>
      <c r="F70" s="10">
        <v>66.44</v>
      </c>
      <c r="G70" s="10">
        <f t="shared" si="4"/>
        <v>26.576</v>
      </c>
      <c r="H70" s="10">
        <f t="shared" si="5"/>
        <v>58.436</v>
      </c>
      <c r="I70" s="9" t="s">
        <v>11</v>
      </c>
    </row>
    <row r="71" s="1" customFormat="1" ht="31" customHeight="1" spans="1:9">
      <c r="A71" s="7">
        <v>69</v>
      </c>
      <c r="B71" s="7" t="str">
        <f>"15003022729"</f>
        <v>15003022729</v>
      </c>
      <c r="C71" s="7" t="str">
        <f>"孟科"</f>
        <v>孟科</v>
      </c>
      <c r="D71" s="7">
        <f>VLOOKUP(B71,'[1]03-鄂尔多斯市籍男岗'!$C$3:$E$90,3,FALSE)</f>
        <v>55.1</v>
      </c>
      <c r="E71" s="8">
        <f t="shared" si="3"/>
        <v>33.06</v>
      </c>
      <c r="F71" s="8">
        <v>63.42</v>
      </c>
      <c r="G71" s="8">
        <f t="shared" si="4"/>
        <v>25.368</v>
      </c>
      <c r="H71" s="8">
        <f t="shared" si="5"/>
        <v>58.428</v>
      </c>
      <c r="I71" s="7" t="s">
        <v>11</v>
      </c>
    </row>
    <row r="72" s="1" customFormat="1" ht="31" customHeight="1" spans="1:9">
      <c r="A72" s="9">
        <v>70</v>
      </c>
      <c r="B72" s="9" t="str">
        <f>"15003023027"</f>
        <v>15003023027</v>
      </c>
      <c r="C72" s="9" t="str">
        <f>"达布拉干"</f>
        <v>达布拉干</v>
      </c>
      <c r="D72" s="9">
        <f>VLOOKUP(B72,'[1]03-鄂尔多斯市籍男岗'!$C$3:$E$90,3,FALSE)</f>
        <v>53</v>
      </c>
      <c r="E72" s="10">
        <f t="shared" si="3"/>
        <v>31.8</v>
      </c>
      <c r="F72" s="10">
        <v>65.94</v>
      </c>
      <c r="G72" s="10">
        <f t="shared" si="4"/>
        <v>26.376</v>
      </c>
      <c r="H72" s="10">
        <f t="shared" si="5"/>
        <v>58.176</v>
      </c>
      <c r="I72" s="9" t="s">
        <v>11</v>
      </c>
    </row>
    <row r="73" s="1" customFormat="1" ht="31" customHeight="1" spans="1:9">
      <c r="A73" s="7">
        <v>71</v>
      </c>
      <c r="B73" s="7" t="str">
        <f>"15003022912"</f>
        <v>15003022912</v>
      </c>
      <c r="C73" s="7" t="str">
        <f>"高宏伟"</f>
        <v>高宏伟</v>
      </c>
      <c r="D73" s="7">
        <f>VLOOKUP(B73,'[1]03-鄂尔多斯市籍男岗'!$C$3:$E$90,3,FALSE)</f>
        <v>55.8</v>
      </c>
      <c r="E73" s="8">
        <f t="shared" si="3"/>
        <v>33.48</v>
      </c>
      <c r="F73" s="8">
        <v>60.1</v>
      </c>
      <c r="G73" s="8">
        <f t="shared" si="4"/>
        <v>24.04</v>
      </c>
      <c r="H73" s="8">
        <f t="shared" si="5"/>
        <v>57.52</v>
      </c>
      <c r="I73" s="7" t="s">
        <v>11</v>
      </c>
    </row>
    <row r="74" s="1" customFormat="1" ht="31" customHeight="1" spans="1:9">
      <c r="A74" s="9">
        <v>72</v>
      </c>
      <c r="B74" s="9" t="str">
        <f>"15003023627"</f>
        <v>15003023627</v>
      </c>
      <c r="C74" s="9" t="str">
        <f>"王珈琨"</f>
        <v>王珈琨</v>
      </c>
      <c r="D74" s="9">
        <f>VLOOKUP(B74,'[1]03-鄂尔多斯市籍男岗'!$C$3:$E$90,3,FALSE)</f>
        <v>54.2</v>
      </c>
      <c r="E74" s="10">
        <f t="shared" si="3"/>
        <v>32.52</v>
      </c>
      <c r="F74" s="10">
        <v>62.27</v>
      </c>
      <c r="G74" s="10">
        <f t="shared" si="4"/>
        <v>24.908</v>
      </c>
      <c r="H74" s="10">
        <f t="shared" si="5"/>
        <v>57.428</v>
      </c>
      <c r="I74" s="9" t="s">
        <v>11</v>
      </c>
    </row>
    <row r="75" s="1" customFormat="1" ht="31" customHeight="1" spans="1:9">
      <c r="A75" s="7">
        <v>73</v>
      </c>
      <c r="B75" s="7" t="str">
        <f>"15003023725"</f>
        <v>15003023725</v>
      </c>
      <c r="C75" s="7" t="str">
        <f>"袁浩"</f>
        <v>袁浩</v>
      </c>
      <c r="D75" s="7">
        <f>VLOOKUP(B75,'[1]03-鄂尔多斯市籍男岗'!$C$3:$E$90,3,FALSE)</f>
        <v>60</v>
      </c>
      <c r="E75" s="8">
        <f t="shared" si="3"/>
        <v>36</v>
      </c>
      <c r="F75" s="8" t="s">
        <v>12</v>
      </c>
      <c r="G75" s="8" t="s">
        <v>12</v>
      </c>
      <c r="H75" s="8">
        <f>E75</f>
        <v>36</v>
      </c>
      <c r="I75" s="7" t="s">
        <v>11</v>
      </c>
    </row>
    <row r="76" s="1" customFormat="1" ht="31" customHeight="1" spans="1:9">
      <c r="A76" s="9">
        <v>74</v>
      </c>
      <c r="B76" s="9" t="str">
        <f>"15003023016"</f>
        <v>15003023016</v>
      </c>
      <c r="C76" s="9" t="str">
        <f>"李越"</f>
        <v>李越</v>
      </c>
      <c r="D76" s="9">
        <f>VLOOKUP(B76,'[1]03-鄂尔多斯市籍男岗'!$C$3:$E$90,3,FALSE)</f>
        <v>58.7</v>
      </c>
      <c r="E76" s="10">
        <f t="shared" si="3"/>
        <v>35.22</v>
      </c>
      <c r="F76" s="10" t="s">
        <v>12</v>
      </c>
      <c r="G76" s="10" t="s">
        <v>12</v>
      </c>
      <c r="H76" s="10">
        <f>E76</f>
        <v>35.22</v>
      </c>
      <c r="I76" s="9" t="s">
        <v>11</v>
      </c>
    </row>
    <row r="77" s="1" customFormat="1" ht="31" customHeight="1" spans="1:9">
      <c r="A77" s="7">
        <v>75</v>
      </c>
      <c r="B77" s="7" t="str">
        <f>"15003023221"</f>
        <v>15003023221</v>
      </c>
      <c r="C77" s="7" t="str">
        <f>"郝银豹"</f>
        <v>郝银豹</v>
      </c>
      <c r="D77" s="7">
        <f>VLOOKUP(B77,'[1]03-鄂尔多斯市籍男岗'!$C$3:$E$90,3,FALSE)</f>
        <v>57.5</v>
      </c>
      <c r="E77" s="8">
        <f t="shared" si="3"/>
        <v>34.5</v>
      </c>
      <c r="F77" s="8" t="s">
        <v>12</v>
      </c>
      <c r="G77" s="8" t="s">
        <v>12</v>
      </c>
      <c r="H77" s="8">
        <f>E77</f>
        <v>34.5</v>
      </c>
      <c r="I77" s="7" t="s">
        <v>11</v>
      </c>
    </row>
    <row r="78" s="1" customFormat="1" ht="31" customHeight="1" spans="1:9">
      <c r="A78" s="9">
        <v>76</v>
      </c>
      <c r="B78" s="9" t="str">
        <f>"15003022902"</f>
        <v>15003022902</v>
      </c>
      <c r="C78" s="9" t="str">
        <f>"刘涛"</f>
        <v>刘涛</v>
      </c>
      <c r="D78" s="9">
        <f>VLOOKUP(B78,'[1]03-鄂尔多斯市籍男岗'!$C$3:$E$90,3,FALSE)</f>
        <v>55.7</v>
      </c>
      <c r="E78" s="10">
        <f t="shared" si="3"/>
        <v>33.42</v>
      </c>
      <c r="F78" s="10" t="s">
        <v>12</v>
      </c>
      <c r="G78" s="10" t="s">
        <v>12</v>
      </c>
      <c r="H78" s="10">
        <f>E78</f>
        <v>33.42</v>
      </c>
      <c r="I78" s="9" t="s">
        <v>11</v>
      </c>
    </row>
    <row r="79" s="1" customFormat="1" ht="33" customHeight="1" spans="1:9">
      <c r="A79" s="7">
        <v>77</v>
      </c>
      <c r="B79" s="7">
        <v>15003024113</v>
      </c>
      <c r="C79" s="7" t="s">
        <v>18</v>
      </c>
      <c r="D79" s="7">
        <v>52.8</v>
      </c>
      <c r="E79" s="8">
        <f t="shared" si="3"/>
        <v>31.68</v>
      </c>
      <c r="F79" s="8" t="s">
        <v>12</v>
      </c>
      <c r="G79" s="8" t="s">
        <v>12</v>
      </c>
      <c r="H79" s="8">
        <f>E79</f>
        <v>31.68</v>
      </c>
      <c r="I79" s="7" t="s">
        <v>11</v>
      </c>
    </row>
    <row r="80" s="1" customFormat="1" customHeight="1" spans="1:9">
      <c r="A80" s="2"/>
      <c r="B80" s="2"/>
      <c r="C80" s="2"/>
      <c r="D80" s="2"/>
      <c r="E80" s="3"/>
      <c r="F80" s="3"/>
      <c r="G80" s="3"/>
      <c r="H80" s="3"/>
      <c r="I80" s="2"/>
    </row>
    <row r="81" s="1" customFormat="1" customHeight="1" spans="1:9">
      <c r="A81" s="2"/>
      <c r="B81" s="2"/>
      <c r="C81" s="2"/>
      <c r="D81" s="2"/>
      <c r="E81" s="3"/>
      <c r="F81" s="3"/>
      <c r="G81" s="3"/>
      <c r="H81" s="3"/>
      <c r="I81" s="2"/>
    </row>
    <row r="82" s="1" customFormat="1" customHeight="1" spans="1:9">
      <c r="A82" s="2"/>
      <c r="B82" s="2"/>
      <c r="C82" s="2"/>
      <c r="D82" s="2"/>
      <c r="E82" s="3"/>
      <c r="F82" s="3"/>
      <c r="G82" s="3"/>
      <c r="H82" s="3"/>
      <c r="I82" s="2"/>
    </row>
    <row r="83" s="1" customFormat="1" customHeight="1" spans="1:9">
      <c r="A83" s="2"/>
      <c r="B83" s="2"/>
      <c r="C83" s="2"/>
      <c r="D83" s="2"/>
      <c r="E83" s="3"/>
      <c r="F83" s="3"/>
      <c r="G83" s="3"/>
      <c r="H83" s="3"/>
      <c r="I83" s="2"/>
    </row>
    <row r="84" s="1" customFormat="1" customHeight="1" spans="1:9">
      <c r="A84" s="2"/>
      <c r="B84" s="2"/>
      <c r="C84" s="2"/>
      <c r="D84" s="2"/>
      <c r="E84" s="3"/>
      <c r="F84" s="3"/>
      <c r="G84" s="3"/>
      <c r="H84" s="3"/>
      <c r="I84" s="2"/>
    </row>
    <row r="85" s="1" customFormat="1" customHeight="1" spans="1:9">
      <c r="A85" s="2"/>
      <c r="B85" s="2"/>
      <c r="C85" s="2"/>
      <c r="D85" s="2"/>
      <c r="E85" s="3"/>
      <c r="F85" s="3"/>
      <c r="G85" s="3"/>
      <c r="H85" s="3"/>
      <c r="I85" s="2"/>
    </row>
    <row r="86" s="1" customFormat="1" customHeight="1" spans="1:9">
      <c r="A86" s="2"/>
      <c r="B86" s="2"/>
      <c r="C86" s="2"/>
      <c r="D86" s="2"/>
      <c r="E86" s="3"/>
      <c r="F86" s="3"/>
      <c r="G86" s="3"/>
      <c r="H86" s="3"/>
      <c r="I86" s="2"/>
    </row>
    <row r="87" s="1" customFormat="1" customHeight="1" spans="1:9">
      <c r="A87" s="2"/>
      <c r="B87" s="2"/>
      <c r="C87" s="2"/>
      <c r="D87" s="2"/>
      <c r="E87" s="3"/>
      <c r="F87" s="3"/>
      <c r="G87" s="3"/>
      <c r="H87" s="3"/>
      <c r="I87" s="2"/>
    </row>
    <row r="88" s="1" customFormat="1" customHeight="1" spans="1:9">
      <c r="A88" s="2"/>
      <c r="B88" s="2"/>
      <c r="C88" s="2"/>
      <c r="D88" s="2"/>
      <c r="E88" s="3"/>
      <c r="F88" s="3"/>
      <c r="G88" s="3"/>
      <c r="H88" s="3"/>
      <c r="I88" s="2"/>
    </row>
    <row r="89" s="1" customFormat="1" customHeight="1" spans="1:9">
      <c r="A89" s="2"/>
      <c r="B89" s="2"/>
      <c r="C89" s="2"/>
      <c r="D89" s="2"/>
      <c r="E89" s="3"/>
      <c r="F89" s="3"/>
      <c r="G89" s="3"/>
      <c r="H89" s="3"/>
      <c r="I89" s="2"/>
    </row>
    <row r="90" s="1" customFormat="1" customHeight="1" spans="1:9">
      <c r="A90" s="2"/>
      <c r="B90" s="2"/>
      <c r="C90" s="2"/>
      <c r="D90" s="2"/>
      <c r="E90" s="3"/>
      <c r="F90" s="3"/>
      <c r="G90" s="3"/>
      <c r="H90" s="3"/>
      <c r="I90" s="2"/>
    </row>
    <row r="91" s="1" customFormat="1" customHeight="1" spans="1:9">
      <c r="A91" s="2"/>
      <c r="B91" s="2"/>
      <c r="C91" s="2"/>
      <c r="D91" s="2"/>
      <c r="E91" s="3"/>
      <c r="F91" s="3"/>
      <c r="G91" s="3"/>
      <c r="H91" s="3"/>
      <c r="I91" s="2"/>
    </row>
    <row r="92" s="1" customFormat="1" customHeight="1" spans="1:9">
      <c r="A92" s="2"/>
      <c r="B92" s="2"/>
      <c r="C92" s="2"/>
      <c r="D92" s="2"/>
      <c r="E92" s="3"/>
      <c r="F92" s="3"/>
      <c r="G92" s="3"/>
      <c r="H92" s="3"/>
      <c r="I92" s="2"/>
    </row>
    <row r="93" s="1" customFormat="1" customHeight="1" spans="1:9">
      <c r="A93" s="2"/>
      <c r="B93" s="2"/>
      <c r="C93" s="2"/>
      <c r="D93" s="2"/>
      <c r="E93" s="3"/>
      <c r="F93" s="3"/>
      <c r="G93" s="3"/>
      <c r="H93" s="3"/>
      <c r="I93" s="2"/>
    </row>
    <row r="94" s="1" customFormat="1" customHeight="1" spans="1:9">
      <c r="A94" s="2"/>
      <c r="B94" s="2"/>
      <c r="C94" s="2"/>
      <c r="D94" s="2"/>
      <c r="E94" s="3"/>
      <c r="F94" s="3"/>
      <c r="G94" s="3"/>
      <c r="H94" s="3"/>
      <c r="I94" s="2"/>
    </row>
    <row r="95" s="1" customFormat="1" customHeight="1" spans="1:9">
      <c r="A95" s="2"/>
      <c r="B95" s="2"/>
      <c r="C95" s="2"/>
      <c r="D95" s="2"/>
      <c r="E95" s="3"/>
      <c r="F95" s="3"/>
      <c r="G95" s="3"/>
      <c r="H95" s="3"/>
      <c r="I95" s="2"/>
    </row>
    <row r="96" s="1" customFormat="1" customHeight="1" spans="1:9">
      <c r="A96" s="2"/>
      <c r="B96" s="2"/>
      <c r="C96" s="2"/>
      <c r="D96" s="2"/>
      <c r="E96" s="3"/>
      <c r="F96" s="3"/>
      <c r="G96" s="3"/>
      <c r="H96" s="3"/>
      <c r="I96" s="2"/>
    </row>
    <row r="97" s="1" customFormat="1" customHeight="1" spans="1:9">
      <c r="A97" s="2"/>
      <c r="B97" s="2"/>
      <c r="C97" s="2"/>
      <c r="D97" s="2"/>
      <c r="E97" s="3"/>
      <c r="F97" s="3"/>
      <c r="G97" s="3"/>
      <c r="H97" s="3"/>
      <c r="I97" s="2"/>
    </row>
    <row r="98" s="1" customFormat="1" customHeight="1" spans="1:9">
      <c r="A98" s="2"/>
      <c r="B98" s="2"/>
      <c r="C98" s="2"/>
      <c r="D98" s="2"/>
      <c r="E98" s="3"/>
      <c r="F98" s="3"/>
      <c r="G98" s="3"/>
      <c r="H98" s="3"/>
      <c r="I98" s="2"/>
    </row>
    <row r="99" s="1" customFormat="1" customHeight="1" spans="1:9">
      <c r="A99" s="2"/>
      <c r="B99" s="2"/>
      <c r="C99" s="2"/>
      <c r="D99" s="2"/>
      <c r="E99" s="3"/>
      <c r="F99" s="3"/>
      <c r="G99" s="3"/>
      <c r="H99" s="3"/>
      <c r="I99" s="2"/>
    </row>
    <row r="100" s="1" customFormat="1" customHeight="1" spans="1:9">
      <c r="A100" s="2"/>
      <c r="B100" s="2"/>
      <c r="C100" s="2"/>
      <c r="D100" s="2"/>
      <c r="E100" s="3"/>
      <c r="F100" s="3"/>
      <c r="G100" s="3"/>
      <c r="H100" s="3"/>
      <c r="I100" s="2"/>
    </row>
    <row r="101" s="1" customFormat="1" customHeight="1" spans="1:9">
      <c r="A101" s="2"/>
      <c r="B101" s="2"/>
      <c r="C101" s="2"/>
      <c r="D101" s="2"/>
      <c r="E101" s="3"/>
      <c r="F101" s="3"/>
      <c r="G101" s="3"/>
      <c r="H101" s="3"/>
      <c r="I101" s="2"/>
    </row>
    <row r="102" s="1" customFormat="1" customHeight="1" spans="1:9">
      <c r="A102" s="2"/>
      <c r="B102" s="2"/>
      <c r="C102" s="2"/>
      <c r="D102" s="2"/>
      <c r="E102" s="3"/>
      <c r="F102" s="3"/>
      <c r="G102" s="3"/>
      <c r="H102" s="3"/>
      <c r="I102" s="2"/>
    </row>
    <row r="103" s="1" customFormat="1" customHeight="1" spans="1:9">
      <c r="A103" s="2"/>
      <c r="B103" s="2"/>
      <c r="C103" s="2"/>
      <c r="D103" s="2"/>
      <c r="E103" s="3"/>
      <c r="F103" s="3"/>
      <c r="G103" s="3"/>
      <c r="H103" s="3"/>
      <c r="I103" s="2"/>
    </row>
    <row r="104" s="1" customFormat="1" customHeight="1" spans="1:9">
      <c r="A104" s="2"/>
      <c r="B104" s="2"/>
      <c r="C104" s="2"/>
      <c r="D104" s="2"/>
      <c r="E104" s="3"/>
      <c r="F104" s="3"/>
      <c r="G104" s="3"/>
      <c r="H104" s="3"/>
      <c r="I104" s="2"/>
    </row>
    <row r="105" s="1" customFormat="1" customHeight="1" spans="1:9">
      <c r="A105" s="2"/>
      <c r="B105" s="2"/>
      <c r="C105" s="2"/>
      <c r="D105" s="2"/>
      <c r="E105" s="3"/>
      <c r="F105" s="3"/>
      <c r="G105" s="3"/>
      <c r="H105" s="3"/>
      <c r="I105" s="2"/>
    </row>
    <row r="106" s="1" customFormat="1" customHeight="1" spans="1:9">
      <c r="A106" s="2"/>
      <c r="B106" s="2"/>
      <c r="C106" s="2"/>
      <c r="D106" s="2"/>
      <c r="E106" s="3"/>
      <c r="F106" s="3"/>
      <c r="G106" s="3"/>
      <c r="H106" s="3"/>
      <c r="I106" s="2"/>
    </row>
    <row r="107" s="1" customFormat="1" customHeight="1" spans="1:9">
      <c r="A107" s="2"/>
      <c r="B107" s="2"/>
      <c r="C107" s="2"/>
      <c r="D107" s="2"/>
      <c r="E107" s="3"/>
      <c r="F107" s="3"/>
      <c r="G107" s="3"/>
      <c r="H107" s="3"/>
      <c r="I107" s="2"/>
    </row>
    <row r="108" s="1" customFormat="1" customHeight="1" spans="1:9">
      <c r="A108" s="2"/>
      <c r="B108" s="2"/>
      <c r="C108" s="2"/>
      <c r="D108" s="2"/>
      <c r="E108" s="3"/>
      <c r="F108" s="3"/>
      <c r="G108" s="3"/>
      <c r="H108" s="3"/>
      <c r="I108" s="2"/>
    </row>
    <row r="109" s="1" customFormat="1" customHeight="1" spans="1:9">
      <c r="A109" s="2"/>
      <c r="B109" s="2"/>
      <c r="C109" s="2"/>
      <c r="D109" s="2"/>
      <c r="E109" s="3"/>
      <c r="F109" s="3"/>
      <c r="G109" s="3"/>
      <c r="H109" s="3"/>
      <c r="I109" s="2"/>
    </row>
    <row r="110" s="1" customFormat="1" customHeight="1" spans="1:9">
      <c r="A110" s="2"/>
      <c r="B110" s="2"/>
      <c r="C110" s="2"/>
      <c r="D110" s="2"/>
      <c r="E110" s="3"/>
      <c r="F110" s="3"/>
      <c r="G110" s="3"/>
      <c r="H110" s="3"/>
      <c r="I110" s="2"/>
    </row>
    <row r="111" s="1" customFormat="1" customHeight="1" spans="1:9">
      <c r="A111" s="2"/>
      <c r="B111" s="2"/>
      <c r="C111" s="2"/>
      <c r="D111" s="2"/>
      <c r="E111" s="3"/>
      <c r="F111" s="3"/>
      <c r="G111" s="3"/>
      <c r="H111" s="3"/>
      <c r="I111" s="2"/>
    </row>
    <row r="112" s="1" customFormat="1" customHeight="1" spans="1:9">
      <c r="A112" s="2"/>
      <c r="B112" s="2"/>
      <c r="C112" s="2"/>
      <c r="D112" s="2"/>
      <c r="E112" s="3"/>
      <c r="F112" s="3"/>
      <c r="G112" s="3"/>
      <c r="H112" s="3"/>
      <c r="I112" s="2"/>
    </row>
    <row r="113" s="1" customFormat="1" customHeight="1" spans="1:9">
      <c r="A113" s="2"/>
      <c r="B113" s="2"/>
      <c r="C113" s="2"/>
      <c r="D113" s="2"/>
      <c r="E113" s="3"/>
      <c r="F113" s="3"/>
      <c r="G113" s="3"/>
      <c r="H113" s="3"/>
      <c r="I113" s="2"/>
    </row>
    <row r="114" s="1" customFormat="1" customHeight="1" spans="1:9">
      <c r="A114" s="2"/>
      <c r="B114" s="2"/>
      <c r="C114" s="2"/>
      <c r="D114" s="2"/>
      <c r="E114" s="3"/>
      <c r="F114" s="3"/>
      <c r="G114" s="3"/>
      <c r="H114" s="3"/>
      <c r="I114" s="2"/>
    </row>
    <row r="115" s="1" customFormat="1" customHeight="1" spans="1:9">
      <c r="A115" s="2"/>
      <c r="B115" s="2"/>
      <c r="C115" s="2"/>
      <c r="D115" s="2"/>
      <c r="E115" s="3"/>
      <c r="F115" s="3"/>
      <c r="G115" s="3"/>
      <c r="H115" s="3"/>
      <c r="I115" s="2"/>
    </row>
    <row r="116" s="1" customFormat="1" customHeight="1" spans="1:9">
      <c r="A116" s="2"/>
      <c r="B116" s="2"/>
      <c r="C116" s="2"/>
      <c r="D116" s="2"/>
      <c r="E116" s="3"/>
      <c r="F116" s="3"/>
      <c r="G116" s="3"/>
      <c r="H116" s="3"/>
      <c r="I116" s="2"/>
    </row>
    <row r="117" s="1" customFormat="1" customHeight="1" spans="1:9">
      <c r="A117" s="2"/>
      <c r="B117" s="2"/>
      <c r="C117" s="2"/>
      <c r="D117" s="2"/>
      <c r="E117" s="3"/>
      <c r="F117" s="3"/>
      <c r="G117" s="3"/>
      <c r="H117" s="3"/>
      <c r="I117" s="2"/>
    </row>
    <row r="118" s="1" customFormat="1" customHeight="1" spans="1:9">
      <c r="A118" s="2"/>
      <c r="B118" s="2"/>
      <c r="C118" s="2"/>
      <c r="D118" s="2"/>
      <c r="E118" s="3"/>
      <c r="F118" s="3"/>
      <c r="G118" s="3"/>
      <c r="H118" s="3"/>
      <c r="I118" s="2"/>
    </row>
    <row r="119" s="1" customFormat="1" customHeight="1" spans="1:9">
      <c r="A119" s="2"/>
      <c r="B119" s="2"/>
      <c r="C119" s="2"/>
      <c r="D119" s="2"/>
      <c r="E119" s="3"/>
      <c r="F119" s="3"/>
      <c r="G119" s="3"/>
      <c r="H119" s="3"/>
      <c r="I119" s="2"/>
    </row>
    <row r="120" s="1" customFormat="1" customHeight="1" spans="1:9">
      <c r="A120" s="2"/>
      <c r="B120" s="2"/>
      <c r="C120" s="2"/>
      <c r="D120" s="2"/>
      <c r="E120" s="3"/>
      <c r="F120" s="3"/>
      <c r="G120" s="3"/>
      <c r="H120" s="3"/>
      <c r="I120" s="2"/>
    </row>
    <row r="121" s="1" customFormat="1" customHeight="1" spans="1:9">
      <c r="A121" s="2"/>
      <c r="B121" s="2"/>
      <c r="C121" s="2"/>
      <c r="D121" s="2"/>
      <c r="E121" s="3"/>
      <c r="F121" s="3"/>
      <c r="G121" s="3"/>
      <c r="H121" s="3"/>
      <c r="I121" s="2"/>
    </row>
    <row r="122" s="1" customFormat="1" customHeight="1" spans="1:9">
      <c r="A122" s="2"/>
      <c r="B122" s="2"/>
      <c r="C122" s="2"/>
      <c r="D122" s="2"/>
      <c r="E122" s="3"/>
      <c r="F122" s="3"/>
      <c r="G122" s="3"/>
      <c r="H122" s="3"/>
      <c r="I122" s="2"/>
    </row>
    <row r="123" s="1" customFormat="1" customHeight="1" spans="1:9">
      <c r="A123" s="2"/>
      <c r="B123" s="2"/>
      <c r="C123" s="2"/>
      <c r="D123" s="2"/>
      <c r="E123" s="3"/>
      <c r="F123" s="3"/>
      <c r="G123" s="3"/>
      <c r="H123" s="3"/>
      <c r="I123" s="2"/>
    </row>
    <row r="124" s="1" customFormat="1" customHeight="1" spans="1:9">
      <c r="A124" s="2"/>
      <c r="B124" s="2"/>
      <c r="C124" s="2"/>
      <c r="D124" s="2"/>
      <c r="E124" s="3"/>
      <c r="F124" s="3"/>
      <c r="G124" s="3"/>
      <c r="H124" s="3"/>
      <c r="I124" s="2"/>
    </row>
    <row r="125" s="1" customFormat="1" customHeight="1" spans="1:9">
      <c r="A125" s="2"/>
      <c r="B125" s="2"/>
      <c r="C125" s="2"/>
      <c r="D125" s="2"/>
      <c r="E125" s="3"/>
      <c r="F125" s="3"/>
      <c r="G125" s="3"/>
      <c r="H125" s="3"/>
      <c r="I125" s="2"/>
    </row>
    <row r="126" s="1" customFormat="1" customHeight="1" spans="1:9">
      <c r="A126" s="2"/>
      <c r="B126" s="2"/>
      <c r="C126" s="2"/>
      <c r="D126" s="2"/>
      <c r="E126" s="3"/>
      <c r="F126" s="3"/>
      <c r="G126" s="3"/>
      <c r="H126" s="3"/>
      <c r="I126" s="2"/>
    </row>
    <row r="127" s="1" customFormat="1" customHeight="1" spans="1:9">
      <c r="A127" s="2"/>
      <c r="B127" s="2"/>
      <c r="C127" s="2"/>
      <c r="D127" s="2"/>
      <c r="E127" s="3"/>
      <c r="F127" s="3"/>
      <c r="G127" s="3"/>
      <c r="H127" s="3"/>
      <c r="I127" s="2"/>
    </row>
    <row r="128" s="1" customFormat="1" customHeight="1" spans="1:9">
      <c r="A128" s="2"/>
      <c r="B128" s="2"/>
      <c r="C128" s="2"/>
      <c r="D128" s="2"/>
      <c r="E128" s="3"/>
      <c r="F128" s="3"/>
      <c r="G128" s="3"/>
      <c r="H128" s="3"/>
      <c r="I128" s="2"/>
    </row>
    <row r="129" s="1" customFormat="1" customHeight="1" spans="1:9">
      <c r="A129" s="2"/>
      <c r="B129" s="2"/>
      <c r="C129" s="2"/>
      <c r="D129" s="2"/>
      <c r="E129" s="3"/>
      <c r="F129" s="3"/>
      <c r="G129" s="3"/>
      <c r="H129" s="3"/>
      <c r="I129" s="2"/>
    </row>
    <row r="130" s="1" customFormat="1" customHeight="1" spans="1:9">
      <c r="A130" s="2"/>
      <c r="B130" s="2"/>
      <c r="C130" s="2"/>
      <c r="D130" s="2"/>
      <c r="E130" s="3"/>
      <c r="F130" s="3"/>
      <c r="G130" s="3"/>
      <c r="H130" s="3"/>
      <c r="I130" s="2"/>
    </row>
    <row r="131" s="1" customFormat="1" customHeight="1" spans="1:9">
      <c r="A131" s="2"/>
      <c r="B131" s="2"/>
      <c r="C131" s="2"/>
      <c r="D131" s="2"/>
      <c r="E131" s="3"/>
      <c r="F131" s="3"/>
      <c r="G131" s="3"/>
      <c r="H131" s="3"/>
      <c r="I131" s="2"/>
    </row>
    <row r="132" s="1" customFormat="1" customHeight="1" spans="1:9">
      <c r="A132" s="2"/>
      <c r="B132" s="2"/>
      <c r="C132" s="2"/>
      <c r="D132" s="2"/>
      <c r="E132" s="3"/>
      <c r="F132" s="3"/>
      <c r="G132" s="3"/>
      <c r="H132" s="3"/>
      <c r="I132" s="2"/>
    </row>
    <row r="133" s="1" customFormat="1" customHeight="1" spans="1:9">
      <c r="A133" s="2"/>
      <c r="B133" s="2"/>
      <c r="C133" s="2"/>
      <c r="D133" s="2"/>
      <c r="E133" s="3"/>
      <c r="F133" s="3"/>
      <c r="G133" s="3"/>
      <c r="H133" s="3"/>
      <c r="I133" s="2"/>
    </row>
    <row r="134" s="1" customFormat="1" customHeight="1" spans="1:9">
      <c r="A134" s="2"/>
      <c r="B134" s="2"/>
      <c r="C134" s="2"/>
      <c r="D134" s="2"/>
      <c r="E134" s="3"/>
      <c r="F134" s="3"/>
      <c r="G134" s="3"/>
      <c r="H134" s="3"/>
      <c r="I134" s="2"/>
    </row>
    <row r="135" s="1" customFormat="1" customHeight="1" spans="1:9">
      <c r="A135" s="2"/>
      <c r="B135" s="2"/>
      <c r="C135" s="2"/>
      <c r="D135" s="2"/>
      <c r="E135" s="3"/>
      <c r="F135" s="3"/>
      <c r="G135" s="3"/>
      <c r="H135" s="3"/>
      <c r="I135" s="2"/>
    </row>
    <row r="136" s="1" customFormat="1" customHeight="1" spans="1:9">
      <c r="A136" s="2"/>
      <c r="B136" s="2"/>
      <c r="C136" s="2"/>
      <c r="D136" s="2"/>
      <c r="E136" s="3"/>
      <c r="F136" s="3"/>
      <c r="G136" s="3"/>
      <c r="H136" s="3"/>
      <c r="I136" s="2"/>
    </row>
    <row r="137" s="1" customFormat="1" customHeight="1" spans="1:9">
      <c r="A137" s="2"/>
      <c r="B137" s="2"/>
      <c r="C137" s="2"/>
      <c r="D137" s="2"/>
      <c r="E137" s="3"/>
      <c r="F137" s="3"/>
      <c r="G137" s="3"/>
      <c r="H137" s="3"/>
      <c r="I137" s="2"/>
    </row>
    <row r="138" s="1" customFormat="1" customHeight="1" spans="1:9">
      <c r="A138" s="2"/>
      <c r="B138" s="2"/>
      <c r="C138" s="2"/>
      <c r="D138" s="2"/>
      <c r="E138" s="3"/>
      <c r="F138" s="3"/>
      <c r="G138" s="3"/>
      <c r="H138" s="3"/>
      <c r="I138" s="2"/>
    </row>
    <row r="139" s="1" customFormat="1" customHeight="1" spans="1:9">
      <c r="A139" s="2"/>
      <c r="B139" s="2"/>
      <c r="C139" s="2"/>
      <c r="D139" s="2"/>
      <c r="E139" s="3"/>
      <c r="F139" s="3"/>
      <c r="G139" s="3"/>
      <c r="H139" s="3"/>
      <c r="I139" s="2"/>
    </row>
    <row r="140" s="1" customFormat="1" customHeight="1" spans="1:9">
      <c r="A140" s="2"/>
      <c r="B140" s="2"/>
      <c r="C140" s="2"/>
      <c r="D140" s="2"/>
      <c r="E140" s="3"/>
      <c r="F140" s="3"/>
      <c r="G140" s="3"/>
      <c r="H140" s="3"/>
      <c r="I140" s="2"/>
    </row>
    <row r="141" s="1" customFormat="1" customHeight="1" spans="1:9">
      <c r="A141" s="2"/>
      <c r="B141" s="2"/>
      <c r="C141" s="2"/>
      <c r="D141" s="2"/>
      <c r="E141" s="3"/>
      <c r="F141" s="3"/>
      <c r="G141" s="3"/>
      <c r="H141" s="3"/>
      <c r="I141" s="2"/>
    </row>
    <row r="142" s="1" customFormat="1" customHeight="1" spans="1:9">
      <c r="A142" s="2"/>
      <c r="B142" s="2"/>
      <c r="C142" s="2"/>
      <c r="D142" s="2"/>
      <c r="E142" s="3"/>
      <c r="F142" s="3"/>
      <c r="G142" s="3"/>
      <c r="H142" s="3"/>
      <c r="I142" s="2"/>
    </row>
    <row r="143" s="1" customFormat="1" customHeight="1" spans="1:9">
      <c r="A143" s="2"/>
      <c r="B143" s="2"/>
      <c r="C143" s="2"/>
      <c r="D143" s="2"/>
      <c r="E143" s="3"/>
      <c r="F143" s="3"/>
      <c r="G143" s="3"/>
      <c r="H143" s="3"/>
      <c r="I143" s="2"/>
    </row>
    <row r="144" s="1" customFormat="1" customHeight="1" spans="1:9">
      <c r="A144" s="2"/>
      <c r="B144" s="2"/>
      <c r="C144" s="2"/>
      <c r="D144" s="2"/>
      <c r="E144" s="3"/>
      <c r="F144" s="3"/>
      <c r="G144" s="3"/>
      <c r="H144" s="3"/>
      <c r="I144" s="2"/>
    </row>
    <row r="145" s="1" customFormat="1" customHeight="1" spans="1:9">
      <c r="A145" s="2"/>
      <c r="B145" s="2"/>
      <c r="C145" s="2"/>
      <c r="D145" s="2"/>
      <c r="E145" s="3"/>
      <c r="F145" s="3"/>
      <c r="G145" s="3"/>
      <c r="H145" s="3"/>
      <c r="I145" s="2"/>
    </row>
    <row r="146" s="1" customFormat="1" customHeight="1" spans="1:9">
      <c r="A146" s="2"/>
      <c r="B146" s="2"/>
      <c r="C146" s="2"/>
      <c r="D146" s="2"/>
      <c r="E146" s="3"/>
      <c r="F146" s="3"/>
      <c r="G146" s="3"/>
      <c r="H146" s="3"/>
      <c r="I146" s="2"/>
    </row>
    <row r="147" s="1" customFormat="1" customHeight="1" spans="1:9">
      <c r="A147" s="2"/>
      <c r="B147" s="2"/>
      <c r="C147" s="2"/>
      <c r="D147" s="2"/>
      <c r="E147" s="3"/>
      <c r="F147" s="3"/>
      <c r="G147" s="3"/>
      <c r="H147" s="3"/>
      <c r="I147" s="2"/>
    </row>
    <row r="148" s="1" customFormat="1" customHeight="1" spans="1:9">
      <c r="A148" s="2"/>
      <c r="B148" s="2"/>
      <c r="C148" s="2"/>
      <c r="D148" s="2"/>
      <c r="E148" s="3"/>
      <c r="F148" s="3"/>
      <c r="G148" s="3"/>
      <c r="H148" s="3"/>
      <c r="I148" s="2"/>
    </row>
    <row r="149" s="1" customFormat="1" customHeight="1" spans="1:9">
      <c r="A149" s="2"/>
      <c r="B149" s="2"/>
      <c r="C149" s="2"/>
      <c r="D149" s="2"/>
      <c r="E149" s="3"/>
      <c r="F149" s="3"/>
      <c r="G149" s="3"/>
      <c r="H149" s="3"/>
      <c r="I149" s="2"/>
    </row>
    <row r="150" s="1" customFormat="1" customHeight="1" spans="1:9">
      <c r="A150" s="2"/>
      <c r="B150" s="2"/>
      <c r="C150" s="2"/>
      <c r="D150" s="2"/>
      <c r="E150" s="3"/>
      <c r="F150" s="3"/>
      <c r="G150" s="3"/>
      <c r="H150" s="3"/>
      <c r="I150" s="2"/>
    </row>
    <row r="151" s="1" customFormat="1" customHeight="1" spans="1:9">
      <c r="A151" s="2"/>
      <c r="B151" s="2"/>
      <c r="C151" s="2"/>
      <c r="D151" s="2"/>
      <c r="E151" s="3"/>
      <c r="F151" s="3"/>
      <c r="G151" s="3"/>
      <c r="H151" s="3"/>
      <c r="I151" s="2"/>
    </row>
    <row r="152" s="1" customFormat="1" customHeight="1" spans="1:9">
      <c r="A152" s="2"/>
      <c r="B152" s="2"/>
      <c r="C152" s="2"/>
      <c r="D152" s="2"/>
      <c r="E152" s="3"/>
      <c r="F152" s="3"/>
      <c r="G152" s="3"/>
      <c r="H152" s="3"/>
      <c r="I152" s="2"/>
    </row>
    <row r="153" s="1" customFormat="1" customHeight="1" spans="1:9">
      <c r="A153" s="2"/>
      <c r="B153" s="2"/>
      <c r="C153" s="2"/>
      <c r="D153" s="2"/>
      <c r="E153" s="3"/>
      <c r="F153" s="3"/>
      <c r="G153" s="3"/>
      <c r="H153" s="3"/>
      <c r="I153" s="2"/>
    </row>
    <row r="154" s="1" customFormat="1" customHeight="1" spans="1:9">
      <c r="A154" s="2"/>
      <c r="B154" s="2"/>
      <c r="C154" s="2"/>
      <c r="D154" s="2"/>
      <c r="E154" s="3"/>
      <c r="F154" s="3"/>
      <c r="G154" s="3"/>
      <c r="H154" s="3"/>
      <c r="I154" s="2"/>
    </row>
    <row r="155" s="1" customFormat="1" customHeight="1" spans="1:9">
      <c r="A155" s="2"/>
      <c r="B155" s="2"/>
      <c r="C155" s="2"/>
      <c r="D155" s="2"/>
      <c r="E155" s="3"/>
      <c r="F155" s="3"/>
      <c r="G155" s="3"/>
      <c r="H155" s="3"/>
      <c r="I155" s="2"/>
    </row>
    <row r="156" s="1" customFormat="1" customHeight="1" spans="1:9">
      <c r="A156" s="2"/>
      <c r="B156" s="2"/>
      <c r="C156" s="2"/>
      <c r="D156" s="2"/>
      <c r="E156" s="3"/>
      <c r="F156" s="3"/>
      <c r="G156" s="3"/>
      <c r="H156" s="3"/>
      <c r="I156" s="2"/>
    </row>
    <row r="157" s="1" customFormat="1" customHeight="1" spans="1:9">
      <c r="A157" s="2"/>
      <c r="B157" s="2"/>
      <c r="C157" s="2"/>
      <c r="D157" s="2"/>
      <c r="E157" s="3"/>
      <c r="F157" s="3"/>
      <c r="G157" s="3"/>
      <c r="H157" s="3"/>
      <c r="I157" s="2"/>
    </row>
    <row r="158" s="1" customFormat="1" customHeight="1" spans="1:9">
      <c r="A158" s="2"/>
      <c r="B158" s="2"/>
      <c r="C158" s="2"/>
      <c r="D158" s="2"/>
      <c r="E158" s="3"/>
      <c r="F158" s="3"/>
      <c r="G158" s="3"/>
      <c r="H158" s="3"/>
      <c r="I158" s="2"/>
    </row>
    <row r="159" s="1" customFormat="1" customHeight="1" spans="1:9">
      <c r="A159" s="2"/>
      <c r="B159" s="2"/>
      <c r="C159" s="2"/>
      <c r="D159" s="2"/>
      <c r="E159" s="3"/>
      <c r="F159" s="3"/>
      <c r="G159" s="3"/>
      <c r="H159" s="3"/>
      <c r="I159" s="2"/>
    </row>
    <row r="160" s="1" customFormat="1" customHeight="1" spans="1:9">
      <c r="A160" s="2"/>
      <c r="B160" s="2"/>
      <c r="C160" s="2"/>
      <c r="D160" s="2"/>
      <c r="E160" s="3"/>
      <c r="F160" s="3"/>
      <c r="G160" s="3"/>
      <c r="H160" s="3"/>
      <c r="I160" s="2"/>
    </row>
    <row r="161" s="1" customFormat="1" customHeight="1" spans="1:9">
      <c r="A161" s="2"/>
      <c r="B161" s="2"/>
      <c r="C161" s="2"/>
      <c r="D161" s="2"/>
      <c r="E161" s="3"/>
      <c r="F161" s="3"/>
      <c r="G161" s="3"/>
      <c r="H161" s="3"/>
      <c r="I161" s="2"/>
    </row>
    <row r="162" s="1" customFormat="1" customHeight="1" spans="1:9">
      <c r="A162" s="2"/>
      <c r="B162" s="2"/>
      <c r="C162" s="2"/>
      <c r="D162" s="2"/>
      <c r="E162" s="3"/>
      <c r="F162" s="3"/>
      <c r="G162" s="3"/>
      <c r="H162" s="3"/>
      <c r="I162" s="2"/>
    </row>
    <row r="163" s="1" customFormat="1" customHeight="1" spans="1:9">
      <c r="A163" s="2"/>
      <c r="B163" s="2"/>
      <c r="C163" s="2"/>
      <c r="D163" s="2"/>
      <c r="E163" s="3"/>
      <c r="F163" s="3"/>
      <c r="G163" s="3"/>
      <c r="H163" s="3"/>
      <c r="I163" s="2"/>
    </row>
    <row r="164" s="1" customFormat="1" customHeight="1" spans="1:9">
      <c r="A164" s="2"/>
      <c r="B164" s="2"/>
      <c r="C164" s="2"/>
      <c r="D164" s="2"/>
      <c r="E164" s="3"/>
      <c r="F164" s="3"/>
      <c r="G164" s="3"/>
      <c r="H164" s="3"/>
      <c r="I164" s="2"/>
    </row>
    <row r="165" s="1" customFormat="1" customHeight="1" spans="1:9">
      <c r="A165" s="2"/>
      <c r="B165" s="2"/>
      <c r="C165" s="2"/>
      <c r="D165" s="2"/>
      <c r="E165" s="3"/>
      <c r="F165" s="3"/>
      <c r="G165" s="3"/>
      <c r="H165" s="3"/>
      <c r="I165" s="2"/>
    </row>
    <row r="166" s="1" customFormat="1" customHeight="1" spans="1:9">
      <c r="A166" s="2"/>
      <c r="B166" s="2"/>
      <c r="C166" s="2"/>
      <c r="D166" s="2"/>
      <c r="E166" s="3"/>
      <c r="F166" s="3"/>
      <c r="G166" s="3"/>
      <c r="H166" s="3"/>
      <c r="I166" s="2"/>
    </row>
    <row r="167" s="1" customFormat="1" customHeight="1" spans="1:9">
      <c r="A167" s="2"/>
      <c r="B167" s="2"/>
      <c r="C167" s="2"/>
      <c r="D167" s="2"/>
      <c r="E167" s="3"/>
      <c r="F167" s="3"/>
      <c r="G167" s="3"/>
      <c r="H167" s="3"/>
      <c r="I167" s="2"/>
    </row>
    <row r="168" s="1" customFormat="1" customHeight="1" spans="1:9">
      <c r="A168" s="2"/>
      <c r="B168" s="2"/>
      <c r="C168" s="2"/>
      <c r="D168" s="2"/>
      <c r="E168" s="3"/>
      <c r="F168" s="3"/>
      <c r="G168" s="3"/>
      <c r="H168" s="3"/>
      <c r="I168" s="2"/>
    </row>
    <row r="169" s="1" customFormat="1" customHeight="1" spans="1:9">
      <c r="A169" s="2"/>
      <c r="B169" s="2"/>
      <c r="C169" s="2"/>
      <c r="D169" s="2"/>
      <c r="E169" s="3"/>
      <c r="F169" s="3"/>
      <c r="G169" s="3"/>
      <c r="H169" s="3"/>
      <c r="I169" s="2"/>
    </row>
    <row r="170" s="1" customFormat="1" customHeight="1" spans="1:9">
      <c r="A170" s="2"/>
      <c r="B170" s="2"/>
      <c r="C170" s="2"/>
      <c r="D170" s="2"/>
      <c r="E170" s="3"/>
      <c r="F170" s="3"/>
      <c r="G170" s="3"/>
      <c r="H170" s="3"/>
      <c r="I170" s="2"/>
    </row>
    <row r="171" s="1" customFormat="1" customHeight="1" spans="1:9">
      <c r="A171" s="2"/>
      <c r="B171" s="2"/>
      <c r="C171" s="2"/>
      <c r="D171" s="2"/>
      <c r="E171" s="3"/>
      <c r="F171" s="3"/>
      <c r="G171" s="3"/>
      <c r="H171" s="3"/>
      <c r="I171" s="2"/>
    </row>
    <row r="172" s="1" customFormat="1" customHeight="1" spans="1:9">
      <c r="A172" s="2"/>
      <c r="B172" s="2"/>
      <c r="C172" s="2"/>
      <c r="D172" s="2"/>
      <c r="E172" s="3"/>
      <c r="F172" s="3"/>
      <c r="G172" s="3"/>
      <c r="H172" s="3"/>
      <c r="I172" s="2"/>
    </row>
    <row r="173" s="1" customFormat="1" customHeight="1" spans="1:9">
      <c r="A173" s="2"/>
      <c r="B173" s="2"/>
      <c r="C173" s="2"/>
      <c r="D173" s="2"/>
      <c r="E173" s="3"/>
      <c r="F173" s="3"/>
      <c r="G173" s="3"/>
      <c r="H173" s="3"/>
      <c r="I173" s="2"/>
    </row>
    <row r="174" s="1" customFormat="1" customHeight="1" spans="1:9">
      <c r="A174" s="2"/>
      <c r="B174" s="2"/>
      <c r="C174" s="2"/>
      <c r="D174" s="2"/>
      <c r="E174" s="3"/>
      <c r="F174" s="3"/>
      <c r="G174" s="3"/>
      <c r="H174" s="3"/>
      <c r="I174" s="2"/>
    </row>
    <row r="175" s="1" customFormat="1" customHeight="1" spans="1:9">
      <c r="A175" s="2"/>
      <c r="B175" s="2"/>
      <c r="C175" s="2"/>
      <c r="D175" s="2"/>
      <c r="E175" s="3"/>
      <c r="F175" s="3"/>
      <c r="G175" s="3"/>
      <c r="H175" s="3"/>
      <c r="I175" s="2"/>
    </row>
    <row r="176" s="1" customFormat="1" customHeight="1" spans="1:9">
      <c r="A176" s="2"/>
      <c r="B176" s="2"/>
      <c r="C176" s="2"/>
      <c r="D176" s="2"/>
      <c r="E176" s="3"/>
      <c r="F176" s="3"/>
      <c r="G176" s="3"/>
      <c r="H176" s="3"/>
      <c r="I176" s="2"/>
    </row>
    <row r="177" s="1" customFormat="1" customHeight="1" spans="1:9">
      <c r="A177" s="2"/>
      <c r="B177" s="2"/>
      <c r="C177" s="2"/>
      <c r="D177" s="2"/>
      <c r="E177" s="3"/>
      <c r="F177" s="3"/>
      <c r="G177" s="3"/>
      <c r="H177" s="3"/>
      <c r="I177" s="2"/>
    </row>
    <row r="178" s="1" customFormat="1" customHeight="1" spans="1:9">
      <c r="A178" s="2"/>
      <c r="B178" s="2"/>
      <c r="C178" s="2"/>
      <c r="D178" s="2"/>
      <c r="E178" s="3"/>
      <c r="F178" s="3"/>
      <c r="G178" s="3"/>
      <c r="H178" s="3"/>
      <c r="I178" s="2"/>
    </row>
    <row r="179" s="1" customFormat="1" customHeight="1" spans="1:9">
      <c r="A179" s="2"/>
      <c r="B179" s="2"/>
      <c r="C179" s="2"/>
      <c r="D179" s="2"/>
      <c r="E179" s="3"/>
      <c r="F179" s="3"/>
      <c r="G179" s="3"/>
      <c r="H179" s="3"/>
      <c r="I179" s="2"/>
    </row>
    <row r="180" s="1" customFormat="1" customHeight="1" spans="1:9">
      <c r="A180" s="2"/>
      <c r="B180" s="2"/>
      <c r="C180" s="2"/>
      <c r="D180" s="2"/>
      <c r="E180" s="3"/>
      <c r="F180" s="3"/>
      <c r="G180" s="3"/>
      <c r="H180" s="3"/>
      <c r="I180" s="2"/>
    </row>
    <row r="181" s="1" customFormat="1" customHeight="1" spans="1:9">
      <c r="A181" s="2"/>
      <c r="B181" s="2"/>
      <c r="C181" s="2"/>
      <c r="D181" s="2"/>
      <c r="E181" s="3"/>
      <c r="F181" s="3"/>
      <c r="G181" s="3"/>
      <c r="H181" s="3"/>
      <c r="I181" s="2"/>
    </row>
    <row r="182" s="1" customFormat="1" customHeight="1" spans="1:9">
      <c r="A182" s="2"/>
      <c r="B182" s="2"/>
      <c r="C182" s="2"/>
      <c r="D182" s="2"/>
      <c r="E182" s="3"/>
      <c r="F182" s="3"/>
      <c r="G182" s="3"/>
      <c r="H182" s="3"/>
      <c r="I182" s="2"/>
    </row>
  </sheetData>
  <sortState ref="A3:I79">
    <sortCondition ref="H3:H79" descending="1"/>
  </sortState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E6" sqref="E6"/>
    </sheetView>
  </sheetViews>
  <sheetFormatPr defaultColWidth="9" defaultRowHeight="15" customHeight="1"/>
  <cols>
    <col min="1" max="1" width="6" style="2" customWidth="1"/>
    <col min="2" max="2" width="19.25" style="2" customWidth="1"/>
    <col min="3" max="3" width="16.375" style="2" customWidth="1"/>
    <col min="4" max="4" width="13.875" style="1" customWidth="1"/>
    <col min="5" max="5" width="19.5" style="3" customWidth="1"/>
    <col min="6" max="6" width="13.875" style="3" customWidth="1"/>
    <col min="7" max="7" width="19.5" style="3" customWidth="1"/>
    <col min="8" max="8" width="13.875" style="3" customWidth="1"/>
    <col min="9" max="9" width="16.5" style="1" customWidth="1"/>
    <col min="10" max="16384" width="9" style="1"/>
  </cols>
  <sheetData>
    <row r="1" ht="32" customHeight="1" spans="1:9">
      <c r="A1" s="4" t="s">
        <v>19</v>
      </c>
      <c r="B1" s="4"/>
      <c r="C1" s="4"/>
      <c r="D1" s="4"/>
      <c r="E1" s="4"/>
      <c r="F1" s="4"/>
      <c r="G1" s="4"/>
      <c r="H1" s="4"/>
      <c r="I1" s="4"/>
    </row>
    <row r="2" s="1" customFormat="1" ht="3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31" customHeight="1" spans="1:9">
      <c r="A3" s="7">
        <v>1</v>
      </c>
      <c r="B3" s="7" t="str">
        <f>"15004012614"</f>
        <v>15004012614</v>
      </c>
      <c r="C3" s="7" t="str">
        <f>"王楠"</f>
        <v>王楠</v>
      </c>
      <c r="D3" s="7">
        <f>VLOOKUP(B3,'[1]04-鄂尔多斯市籍女岗'!$C$3:$E$21,3,FALSE)</f>
        <v>70.6</v>
      </c>
      <c r="E3" s="8">
        <f t="shared" ref="E3:E17" si="0">D3*0.6</f>
        <v>42.36</v>
      </c>
      <c r="F3" s="8">
        <v>73.3</v>
      </c>
      <c r="G3" s="8">
        <f t="shared" ref="G3:G17" si="1">F3*0.4</f>
        <v>29.32</v>
      </c>
      <c r="H3" s="8">
        <f t="shared" ref="H3:H17" si="2">E3+G3</f>
        <v>71.68</v>
      </c>
      <c r="I3" s="8" t="s">
        <v>10</v>
      </c>
    </row>
    <row r="4" s="1" customFormat="1" ht="31" customHeight="1" spans="1:9">
      <c r="A4" s="9">
        <v>2</v>
      </c>
      <c r="B4" s="9" t="str">
        <f>"15004013419"</f>
        <v>15004013419</v>
      </c>
      <c r="C4" s="9" t="str">
        <f>"黄玉荣"</f>
        <v>黄玉荣</v>
      </c>
      <c r="D4" s="9">
        <f>VLOOKUP(B4,'[1]04-鄂尔多斯市籍女岗'!$C$3:$E$21,3,FALSE)</f>
        <v>69.9</v>
      </c>
      <c r="E4" s="10">
        <f t="shared" si="0"/>
        <v>41.94</v>
      </c>
      <c r="F4" s="10">
        <v>72.86</v>
      </c>
      <c r="G4" s="10">
        <f t="shared" si="1"/>
        <v>29.144</v>
      </c>
      <c r="H4" s="10">
        <f t="shared" si="2"/>
        <v>71.084</v>
      </c>
      <c r="I4" s="10" t="s">
        <v>10</v>
      </c>
    </row>
    <row r="5" s="1" customFormat="1" ht="31" customHeight="1" spans="1:9">
      <c r="A5" s="7">
        <v>3</v>
      </c>
      <c r="B5" s="7" t="str">
        <f>"15004013417"</f>
        <v>15004013417</v>
      </c>
      <c r="C5" s="7" t="str">
        <f>"马慧"</f>
        <v>马慧</v>
      </c>
      <c r="D5" s="7">
        <f>VLOOKUP(B5,'[1]04-鄂尔多斯市籍女岗'!$C$3:$E$21,3,FALSE)</f>
        <v>68.5</v>
      </c>
      <c r="E5" s="8">
        <f t="shared" si="0"/>
        <v>41.1</v>
      </c>
      <c r="F5" s="8">
        <v>74.72</v>
      </c>
      <c r="G5" s="8">
        <f t="shared" si="1"/>
        <v>29.888</v>
      </c>
      <c r="H5" s="8">
        <f t="shared" si="2"/>
        <v>70.988</v>
      </c>
      <c r="I5" s="8" t="s">
        <v>10</v>
      </c>
    </row>
    <row r="6" s="1" customFormat="1" ht="31" customHeight="1" spans="1:9">
      <c r="A6" s="9">
        <v>4</v>
      </c>
      <c r="B6" s="9" t="str">
        <f>"15004012118"</f>
        <v>15004012118</v>
      </c>
      <c r="C6" s="9" t="str">
        <f>"张海燕"</f>
        <v>张海燕</v>
      </c>
      <c r="D6" s="9">
        <f>VLOOKUP(B6,'[1]04-鄂尔多斯市籍女岗'!$C$3:$E$21,3,FALSE)</f>
        <v>70.4</v>
      </c>
      <c r="E6" s="10">
        <f t="shared" si="0"/>
        <v>42.24</v>
      </c>
      <c r="F6" s="10">
        <v>71.08</v>
      </c>
      <c r="G6" s="10">
        <f t="shared" si="1"/>
        <v>28.432</v>
      </c>
      <c r="H6" s="10">
        <f t="shared" si="2"/>
        <v>70.672</v>
      </c>
      <c r="I6" s="10" t="s">
        <v>10</v>
      </c>
    </row>
    <row r="7" s="1" customFormat="1" ht="31" customHeight="1" spans="1:9">
      <c r="A7" s="7">
        <v>5</v>
      </c>
      <c r="B7" s="7" t="str">
        <f>"15004011828"</f>
        <v>15004011828</v>
      </c>
      <c r="C7" s="7" t="str">
        <f>"王雪羽"</f>
        <v>王雪羽</v>
      </c>
      <c r="D7" s="7">
        <f>VLOOKUP(B7,'[1]04-鄂尔多斯市籍女岗'!$C$3:$E$21,3,FALSE)</f>
        <v>67.6</v>
      </c>
      <c r="E7" s="8">
        <f t="shared" si="0"/>
        <v>40.56</v>
      </c>
      <c r="F7" s="8">
        <v>75.04</v>
      </c>
      <c r="G7" s="8">
        <f t="shared" si="1"/>
        <v>30.016</v>
      </c>
      <c r="H7" s="8">
        <f t="shared" si="2"/>
        <v>70.576</v>
      </c>
      <c r="I7" s="8" t="s">
        <v>10</v>
      </c>
    </row>
    <row r="8" s="1" customFormat="1" ht="31" customHeight="1" spans="1:9">
      <c r="A8" s="9">
        <v>6</v>
      </c>
      <c r="B8" s="9" t="str">
        <f>"15004012427"</f>
        <v>15004012427</v>
      </c>
      <c r="C8" s="9" t="str">
        <f>"赵茹"</f>
        <v>赵茹</v>
      </c>
      <c r="D8" s="9">
        <f>VLOOKUP(B8,'[1]04-鄂尔多斯市籍女岗'!$C$3:$E$21,3,FALSE)</f>
        <v>71.1</v>
      </c>
      <c r="E8" s="10">
        <f t="shared" si="0"/>
        <v>42.66</v>
      </c>
      <c r="F8" s="10">
        <v>68.7</v>
      </c>
      <c r="G8" s="10">
        <f t="shared" si="1"/>
        <v>27.48</v>
      </c>
      <c r="H8" s="10">
        <f t="shared" si="2"/>
        <v>70.14</v>
      </c>
      <c r="I8" s="10" t="s">
        <v>11</v>
      </c>
    </row>
    <row r="9" s="1" customFormat="1" ht="31" customHeight="1" spans="1:9">
      <c r="A9" s="7">
        <v>7</v>
      </c>
      <c r="B9" s="7" t="str">
        <f>"15004012814"</f>
        <v>15004012814</v>
      </c>
      <c r="C9" s="7" t="str">
        <f>"赵丽"</f>
        <v>赵丽</v>
      </c>
      <c r="D9" s="7">
        <f>VLOOKUP(B9,'[1]04-鄂尔多斯市籍女岗'!$C$3:$E$21,3,FALSE)</f>
        <v>68.2</v>
      </c>
      <c r="E9" s="8">
        <f t="shared" si="0"/>
        <v>40.92</v>
      </c>
      <c r="F9" s="8">
        <v>73.02</v>
      </c>
      <c r="G9" s="8">
        <f t="shared" si="1"/>
        <v>29.208</v>
      </c>
      <c r="H9" s="8">
        <f t="shared" si="2"/>
        <v>70.128</v>
      </c>
      <c r="I9" s="8" t="s">
        <v>11</v>
      </c>
    </row>
    <row r="10" s="1" customFormat="1" ht="31" customHeight="1" spans="1:9">
      <c r="A10" s="9">
        <v>8</v>
      </c>
      <c r="B10" s="9" t="str">
        <f>"15004011523"</f>
        <v>15004011523</v>
      </c>
      <c r="C10" s="9" t="str">
        <f>"林雨"</f>
        <v>林雨</v>
      </c>
      <c r="D10" s="9">
        <f>VLOOKUP(B10,'[1]04-鄂尔多斯市籍女岗'!$C$3:$E$21,3,FALSE)</f>
        <v>66.2</v>
      </c>
      <c r="E10" s="10">
        <f t="shared" si="0"/>
        <v>39.72</v>
      </c>
      <c r="F10" s="10">
        <v>76.02</v>
      </c>
      <c r="G10" s="10">
        <f t="shared" si="1"/>
        <v>30.408</v>
      </c>
      <c r="H10" s="10">
        <f t="shared" si="2"/>
        <v>70.128</v>
      </c>
      <c r="I10" s="10" t="s">
        <v>11</v>
      </c>
    </row>
    <row r="11" s="1" customFormat="1" ht="31" customHeight="1" spans="1:9">
      <c r="A11" s="7">
        <v>9</v>
      </c>
      <c r="B11" s="7" t="str">
        <f>"15004011920"</f>
        <v>15004011920</v>
      </c>
      <c r="C11" s="7" t="str">
        <f>"张婷"</f>
        <v>张婷</v>
      </c>
      <c r="D11" s="7">
        <f>VLOOKUP(B11,'[1]04-鄂尔多斯市籍女岗'!$C$3:$E$21,3,FALSE)</f>
        <v>67.2</v>
      </c>
      <c r="E11" s="8">
        <f t="shared" si="0"/>
        <v>40.32</v>
      </c>
      <c r="F11" s="8">
        <v>73.92</v>
      </c>
      <c r="G11" s="8">
        <f t="shared" si="1"/>
        <v>29.568</v>
      </c>
      <c r="H11" s="8">
        <f t="shared" si="2"/>
        <v>69.888</v>
      </c>
      <c r="I11" s="8" t="s">
        <v>11</v>
      </c>
    </row>
    <row r="12" s="1" customFormat="1" ht="31" customHeight="1" spans="1:9">
      <c r="A12" s="9">
        <v>10</v>
      </c>
      <c r="B12" s="9" t="str">
        <f>"15004013208"</f>
        <v>15004013208</v>
      </c>
      <c r="C12" s="9" t="str">
        <f>"张天天"</f>
        <v>张天天</v>
      </c>
      <c r="D12" s="9">
        <f>VLOOKUP(B12,'[1]04-鄂尔多斯市籍女岗'!$C$3:$E$21,3,FALSE)</f>
        <v>66.4</v>
      </c>
      <c r="E12" s="10">
        <f t="shared" si="0"/>
        <v>39.84</v>
      </c>
      <c r="F12" s="10">
        <v>74.84</v>
      </c>
      <c r="G12" s="10">
        <f t="shared" si="1"/>
        <v>29.936</v>
      </c>
      <c r="H12" s="10">
        <f t="shared" si="2"/>
        <v>69.776</v>
      </c>
      <c r="I12" s="10" t="s">
        <v>11</v>
      </c>
    </row>
    <row r="13" s="1" customFormat="1" ht="31" customHeight="1" spans="1:9">
      <c r="A13" s="7">
        <v>11</v>
      </c>
      <c r="B13" s="7" t="str">
        <f>"15004013401"</f>
        <v>15004013401</v>
      </c>
      <c r="C13" s="7" t="str">
        <f>"李玉"</f>
        <v>李玉</v>
      </c>
      <c r="D13" s="7">
        <f>VLOOKUP(B13,'[1]04-鄂尔多斯市籍女岗'!$C$3:$E$21,3,FALSE)</f>
        <v>67.4</v>
      </c>
      <c r="E13" s="8">
        <f t="shared" si="0"/>
        <v>40.44</v>
      </c>
      <c r="F13" s="8">
        <v>69.5</v>
      </c>
      <c r="G13" s="8">
        <f t="shared" si="1"/>
        <v>27.8</v>
      </c>
      <c r="H13" s="8">
        <f t="shared" si="2"/>
        <v>68.24</v>
      </c>
      <c r="I13" s="8" t="s">
        <v>11</v>
      </c>
    </row>
    <row r="14" s="1" customFormat="1" ht="31" customHeight="1" spans="1:9">
      <c r="A14" s="9">
        <v>12</v>
      </c>
      <c r="B14" s="9" t="str">
        <f>"15004012526"</f>
        <v>15004012526</v>
      </c>
      <c r="C14" s="9" t="str">
        <f>"张甜"</f>
        <v>张甜</v>
      </c>
      <c r="D14" s="9">
        <f>VLOOKUP(B14,'[1]04-鄂尔多斯市籍女岗'!$C$3:$E$21,3,FALSE)</f>
        <v>65.7</v>
      </c>
      <c r="E14" s="10">
        <f t="shared" si="0"/>
        <v>39.42</v>
      </c>
      <c r="F14" s="10">
        <v>71.34</v>
      </c>
      <c r="G14" s="10">
        <f t="shared" si="1"/>
        <v>28.536</v>
      </c>
      <c r="H14" s="10">
        <f t="shared" si="2"/>
        <v>67.956</v>
      </c>
      <c r="I14" s="10" t="s">
        <v>11</v>
      </c>
    </row>
    <row r="15" s="1" customFormat="1" ht="31" customHeight="1" spans="1:9">
      <c r="A15" s="7">
        <v>13</v>
      </c>
      <c r="B15" s="7" t="str">
        <f>"15004013019"</f>
        <v>15004013019</v>
      </c>
      <c r="C15" s="7" t="str">
        <f>"郭聃"</f>
        <v>郭聃</v>
      </c>
      <c r="D15" s="7">
        <f>VLOOKUP(B15,'[1]04-鄂尔多斯市籍女岗'!$C$3:$E$21,3,FALSE)</f>
        <v>65.9</v>
      </c>
      <c r="E15" s="8">
        <f t="shared" si="0"/>
        <v>39.54</v>
      </c>
      <c r="F15" s="8">
        <v>70.52</v>
      </c>
      <c r="G15" s="8">
        <f t="shared" si="1"/>
        <v>28.208</v>
      </c>
      <c r="H15" s="8">
        <f t="shared" si="2"/>
        <v>67.748</v>
      </c>
      <c r="I15" s="8" t="s">
        <v>11</v>
      </c>
    </row>
    <row r="16" s="1" customFormat="1" ht="31" customHeight="1" spans="1:9">
      <c r="A16" s="9">
        <v>14</v>
      </c>
      <c r="B16" s="9" t="str">
        <f>"15004012525"</f>
        <v>15004012525</v>
      </c>
      <c r="C16" s="9" t="str">
        <f>"李悦"</f>
        <v>李悦</v>
      </c>
      <c r="D16" s="9">
        <f>VLOOKUP(B16,'[1]04-鄂尔多斯市籍女岗'!$C$3:$E$21,3,FALSE)</f>
        <v>66.1</v>
      </c>
      <c r="E16" s="10">
        <f t="shared" si="0"/>
        <v>39.66</v>
      </c>
      <c r="F16" s="10">
        <v>68.26</v>
      </c>
      <c r="G16" s="10">
        <f t="shared" si="1"/>
        <v>27.304</v>
      </c>
      <c r="H16" s="10">
        <f t="shared" si="2"/>
        <v>66.964</v>
      </c>
      <c r="I16" s="10" t="s">
        <v>11</v>
      </c>
    </row>
    <row r="17" s="1" customFormat="1" ht="31" customHeight="1" spans="1:9">
      <c r="A17" s="7">
        <v>15</v>
      </c>
      <c r="B17" s="7" t="str">
        <f>"15004011525"</f>
        <v>15004011525</v>
      </c>
      <c r="C17" s="7" t="str">
        <f>"王嘉韬"</f>
        <v>王嘉韬</v>
      </c>
      <c r="D17" s="7">
        <f>VLOOKUP(B17,'[1]04-鄂尔多斯市籍女岗'!$C$3:$E$21,3,FALSE)</f>
        <v>78.2</v>
      </c>
      <c r="E17" s="8">
        <f t="shared" si="0"/>
        <v>46.92</v>
      </c>
      <c r="F17" s="8" t="s">
        <v>12</v>
      </c>
      <c r="G17" s="8" t="s">
        <v>12</v>
      </c>
      <c r="H17" s="8">
        <f>E17</f>
        <v>46.92</v>
      </c>
      <c r="I17" s="8" t="s">
        <v>11</v>
      </c>
    </row>
  </sheetData>
  <sortState ref="A2:I16">
    <sortCondition ref="H2:H16" descending="1"/>
  </sortState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01-伊旗籍男岗</vt:lpstr>
      <vt:lpstr>02-伊旗籍女岗</vt:lpstr>
      <vt:lpstr>03-鄂尔多斯市籍男岗</vt:lpstr>
      <vt:lpstr>04-鄂尔多斯市籍女岗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君子</cp:lastModifiedBy>
  <dcterms:created xsi:type="dcterms:W3CDTF">2021-12-09T02:42:00Z</dcterms:created>
  <dcterms:modified xsi:type="dcterms:W3CDTF">2021-12-12T10:38:55Z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0A79ECC8887F4A60B39D5C7D1ADB5A00</vt:lpwstr>
  </property>
  <property fmtid="{D5CDD505-2E9C-101B-9397-08002B2CF9AE}" pid="3" name="KSOProductBuildVer">
    <vt:lpwstr>2052-11.1.0.11045</vt:lpwstr>
  </property>
</Properties>
</file>