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伊金霍洛旗事业单位20230209-4860_63e4b791" sheetId="1" r:id="rId1"/>
  </sheets>
  <definedNames>
    <definedName name="_xlnm._FilterDatabase" localSheetId="0" hidden="1">'伊金霍洛旗事业单位20230209-4860_63e4b791'!$B$2:$H$243</definedName>
  </definedNames>
  <calcPr fullCalcOnLoad="1"/>
</workbook>
</file>

<file path=xl/sharedStrings.xml><?xml version="1.0" encoding="utf-8"?>
<sst xmlns="http://schemas.openxmlformats.org/spreadsheetml/2006/main" count="863" uniqueCount="31">
  <si>
    <t>伊金霍洛旗2022年度第二批事业单位公开引进紧缺专业人才面试成绩
及进入资格复审和体检、考察范围人员名单</t>
  </si>
  <si>
    <t>序号</t>
  </si>
  <si>
    <t>岗位
代码</t>
  </si>
  <si>
    <t>岗位名称</t>
  </si>
  <si>
    <t>引进单位</t>
  </si>
  <si>
    <t>姓名</t>
  </si>
  <si>
    <t>性别</t>
  </si>
  <si>
    <t>准考证号</t>
  </si>
  <si>
    <t>面试
成绩</t>
  </si>
  <si>
    <t>是否进入资格复审和体检、考察范围</t>
  </si>
  <si>
    <t>经济分析研究</t>
  </si>
  <si>
    <t>伊金霍洛旗天骄
双创服务中心</t>
  </si>
  <si>
    <t>——</t>
  </si>
  <si>
    <t>否</t>
  </si>
  <si>
    <t>伊金霍洛旗天骄双创服务中心</t>
  </si>
  <si>
    <t>是</t>
  </si>
  <si>
    <t>新闻信息</t>
  </si>
  <si>
    <t>伊金霍洛镇党群服务中心</t>
  </si>
  <si>
    <t>测绘工程</t>
  </si>
  <si>
    <t>通信保障</t>
  </si>
  <si>
    <t>伊金霍洛旗专用通信中心</t>
  </si>
  <si>
    <t>政策研究</t>
  </si>
  <si>
    <t>伊金霍洛旗老干部服务中心</t>
  </si>
  <si>
    <t>伊金霍洛旗政务和公益机构域名注册中心</t>
  </si>
  <si>
    <t>检验检测</t>
  </si>
  <si>
    <t>伊金霍洛旗农畜产品质量安全中心</t>
  </si>
  <si>
    <t>文博研究</t>
  </si>
  <si>
    <t>伊金霍洛旗文物保护与旅游事业发展中心</t>
  </si>
  <si>
    <t>视频拍摄与制作</t>
  </si>
  <si>
    <t>大数据审计</t>
  </si>
  <si>
    <t>伊金霍洛旗审计事务服务中心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</si>
</sst>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6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3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176" fontId="44" fillId="0" borderId="0" xfId="0" applyNumberFormat="1" applyFont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6" fillId="0" borderId="9" xfId="0" applyFont="1" applyBorder="1" applyAlignment="1" applyProtection="1">
      <alignment horizontal="center" vertical="center" wrapText="1"/>
      <protection/>
    </xf>
    <xf numFmtId="0" fontId="46" fillId="0" borderId="9" xfId="0" applyFont="1" applyBorder="1" applyAlignment="1" applyProtection="1">
      <alignment horizontal="center" vertical="center" wrapText="1"/>
      <protection/>
    </xf>
    <xf numFmtId="176" fontId="46" fillId="0" borderId="9" xfId="0" applyNumberFormat="1" applyFont="1" applyBorder="1" applyAlignment="1" applyProtection="1">
      <alignment horizontal="center" vertical="center" wrapText="1"/>
      <protection/>
    </xf>
    <xf numFmtId="0" fontId="44" fillId="0" borderId="9" xfId="0" applyFont="1" applyBorder="1" applyAlignment="1" applyProtection="1">
      <alignment horizontal="center" vertical="center" wrapText="1"/>
      <protection/>
    </xf>
    <xf numFmtId="0" fontId="44" fillId="0" borderId="9" xfId="0" applyFont="1" applyBorder="1" applyAlignment="1" applyProtection="1">
      <alignment horizontal="center" vertical="center" wrapText="1"/>
      <protection/>
    </xf>
    <xf numFmtId="177" fontId="47" fillId="0" borderId="9" xfId="0" applyNumberFormat="1" applyFont="1" applyBorder="1" applyAlignment="1" applyProtection="1">
      <alignment horizontal="center" vertical="center" wrapText="1"/>
      <protection/>
    </xf>
    <xf numFmtId="176" fontId="44" fillId="0" borderId="9" xfId="0" applyNumberFormat="1" applyFont="1" applyBorder="1" applyAlignment="1" applyProtection="1">
      <alignment horizontal="center" vertical="center" wrapText="1"/>
      <protection/>
    </xf>
    <xf numFmtId="177" fontId="44" fillId="0" borderId="9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tabSelected="1" view="pageBreakPreview" zoomScale="115" zoomScaleSheetLayoutView="115" workbookViewId="0" topLeftCell="A1">
      <pane ySplit="2" topLeftCell="A231" activePane="bottomLeft" state="frozen"/>
      <selection pane="bottomLeft" activeCell="E6" sqref="E6"/>
    </sheetView>
  </sheetViews>
  <sheetFormatPr defaultColWidth="9.00390625" defaultRowHeight="30.75" customHeight="1"/>
  <cols>
    <col min="1" max="1" width="6.57421875" style="2" customWidth="1"/>
    <col min="2" max="2" width="7.28125" style="2" customWidth="1"/>
    <col min="3" max="3" width="11.7109375" style="2" customWidth="1"/>
    <col min="4" max="4" width="20.00390625" style="2" customWidth="1"/>
    <col min="5" max="5" width="11.421875" style="2" customWidth="1"/>
    <col min="6" max="6" width="5.7109375" style="2" customWidth="1"/>
    <col min="7" max="7" width="13.7109375" style="3" customWidth="1"/>
    <col min="8" max="8" width="8.8515625" style="4" customWidth="1"/>
    <col min="9" max="9" width="12.8515625" style="4" customWidth="1"/>
    <col min="10" max="16384" width="9.00390625" style="2" customWidth="1"/>
  </cols>
  <sheetData>
    <row r="1" spans="1:9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49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6" t="s">
        <v>9</v>
      </c>
    </row>
    <row r="3" spans="1:10" ht="30.75" customHeight="1">
      <c r="A3" s="9">
        <v>1</v>
      </c>
      <c r="B3" s="10" t="str">
        <f aca="true" t="shared" si="0" ref="B3:B48">"101"</f>
        <v>101</v>
      </c>
      <c r="C3" s="10" t="s">
        <v>10</v>
      </c>
      <c r="D3" s="10" t="s">
        <v>11</v>
      </c>
      <c r="E3" s="10" t="str">
        <f>"杨泽欣"</f>
        <v>杨泽欣</v>
      </c>
      <c r="F3" s="10" t="str">
        <f>"女"</f>
        <v>女</v>
      </c>
      <c r="G3" s="10" t="str">
        <f>"23101010219"</f>
        <v>23101010219</v>
      </c>
      <c r="H3" s="11" t="s">
        <v>12</v>
      </c>
      <c r="I3" s="13" t="s">
        <v>13</v>
      </c>
      <c r="J3" s="3"/>
    </row>
    <row r="4" spans="1:10" ht="30.75" customHeight="1">
      <c r="A4" s="9">
        <v>2</v>
      </c>
      <c r="B4" s="10" t="str">
        <f t="shared" si="0"/>
        <v>101</v>
      </c>
      <c r="C4" s="10" t="s">
        <v>10</v>
      </c>
      <c r="D4" s="10" t="s">
        <v>14</v>
      </c>
      <c r="E4" s="10" t="str">
        <f>"吕怡霖"</f>
        <v>吕怡霖</v>
      </c>
      <c r="F4" s="10" t="str">
        <f>"女"</f>
        <v>女</v>
      </c>
      <c r="G4" s="10" t="str">
        <f>"23101010220"</f>
        <v>23101010220</v>
      </c>
      <c r="H4" s="12">
        <v>64.26</v>
      </c>
      <c r="I4" s="13" t="s">
        <v>13</v>
      </c>
      <c r="J4" s="3"/>
    </row>
    <row r="5" spans="1:10" ht="30.75" customHeight="1">
      <c r="A5" s="9">
        <v>3</v>
      </c>
      <c r="B5" s="10" t="str">
        <f t="shared" si="0"/>
        <v>101</v>
      </c>
      <c r="C5" s="10" t="s">
        <v>10</v>
      </c>
      <c r="D5" s="10" t="s">
        <v>14</v>
      </c>
      <c r="E5" s="10" t="str">
        <f>"赵奕"</f>
        <v>赵奕</v>
      </c>
      <c r="F5" s="10" t="str">
        <f>"女"</f>
        <v>女</v>
      </c>
      <c r="G5" s="10" t="str">
        <f>"23101010221"</f>
        <v>23101010221</v>
      </c>
      <c r="H5" s="11" t="s">
        <v>12</v>
      </c>
      <c r="I5" s="13" t="s">
        <v>13</v>
      </c>
      <c r="J5" s="3"/>
    </row>
    <row r="6" spans="1:10" ht="30.75" customHeight="1">
      <c r="A6" s="9">
        <v>4</v>
      </c>
      <c r="B6" s="10" t="str">
        <f t="shared" si="0"/>
        <v>101</v>
      </c>
      <c r="C6" s="10" t="s">
        <v>10</v>
      </c>
      <c r="D6" s="10" t="s">
        <v>14</v>
      </c>
      <c r="E6" s="10" t="str">
        <f>"金林"</f>
        <v>金林</v>
      </c>
      <c r="F6" s="10" t="str">
        <f>"男"</f>
        <v>男</v>
      </c>
      <c r="G6" s="10" t="str">
        <f>"23101010222"</f>
        <v>23101010222</v>
      </c>
      <c r="H6" s="11" t="s">
        <v>12</v>
      </c>
      <c r="I6" s="13" t="s">
        <v>13</v>
      </c>
      <c r="J6" s="3"/>
    </row>
    <row r="7" spans="1:10" ht="30.75" customHeight="1">
      <c r="A7" s="9">
        <v>5</v>
      </c>
      <c r="B7" s="10" t="str">
        <f t="shared" si="0"/>
        <v>101</v>
      </c>
      <c r="C7" s="10" t="s">
        <v>10</v>
      </c>
      <c r="D7" s="10" t="s">
        <v>14</v>
      </c>
      <c r="E7" s="10" t="str">
        <f>"连蒙"</f>
        <v>连蒙</v>
      </c>
      <c r="F7" s="10" t="str">
        <f>"女"</f>
        <v>女</v>
      </c>
      <c r="G7" s="10" t="str">
        <f>"23101010223"</f>
        <v>23101010223</v>
      </c>
      <c r="H7" s="11" t="s">
        <v>12</v>
      </c>
      <c r="I7" s="13" t="s">
        <v>13</v>
      </c>
      <c r="J7" s="3"/>
    </row>
    <row r="8" spans="1:10" ht="30.75" customHeight="1">
      <c r="A8" s="9">
        <v>6</v>
      </c>
      <c r="B8" s="10" t="str">
        <f t="shared" si="0"/>
        <v>101</v>
      </c>
      <c r="C8" s="10" t="s">
        <v>10</v>
      </c>
      <c r="D8" s="10" t="s">
        <v>14</v>
      </c>
      <c r="E8" s="10" t="str">
        <f>"何静泊"</f>
        <v>何静泊</v>
      </c>
      <c r="F8" s="10" t="str">
        <f>"男"</f>
        <v>男</v>
      </c>
      <c r="G8" s="10" t="str">
        <f>"23101010224"</f>
        <v>23101010224</v>
      </c>
      <c r="H8" s="11" t="s">
        <v>12</v>
      </c>
      <c r="I8" s="13" t="s">
        <v>13</v>
      </c>
      <c r="J8" s="3"/>
    </row>
    <row r="9" spans="1:10" ht="30.75" customHeight="1">
      <c r="A9" s="9">
        <v>7</v>
      </c>
      <c r="B9" s="10" t="str">
        <f t="shared" si="0"/>
        <v>101</v>
      </c>
      <c r="C9" s="10" t="s">
        <v>10</v>
      </c>
      <c r="D9" s="10" t="s">
        <v>14</v>
      </c>
      <c r="E9" s="10" t="str">
        <f>"白梅梅"</f>
        <v>白梅梅</v>
      </c>
      <c r="F9" s="10" t="str">
        <f>"女"</f>
        <v>女</v>
      </c>
      <c r="G9" s="10" t="str">
        <f>"23101010225"</f>
        <v>23101010225</v>
      </c>
      <c r="H9" s="11" t="s">
        <v>12</v>
      </c>
      <c r="I9" s="13" t="s">
        <v>13</v>
      </c>
      <c r="J9" s="3"/>
    </row>
    <row r="10" spans="1:10" ht="30.75" customHeight="1">
      <c r="A10" s="9">
        <v>8</v>
      </c>
      <c r="B10" s="10" t="str">
        <f t="shared" si="0"/>
        <v>101</v>
      </c>
      <c r="C10" s="10" t="s">
        <v>10</v>
      </c>
      <c r="D10" s="10" t="s">
        <v>14</v>
      </c>
      <c r="E10" s="10" t="str">
        <f>"乔宇洁"</f>
        <v>乔宇洁</v>
      </c>
      <c r="F10" s="10" t="str">
        <f>"女"</f>
        <v>女</v>
      </c>
      <c r="G10" s="10" t="str">
        <f>"23101010226"</f>
        <v>23101010226</v>
      </c>
      <c r="H10" s="12">
        <v>78.22</v>
      </c>
      <c r="I10" s="13" t="s">
        <v>13</v>
      </c>
      <c r="J10" s="3"/>
    </row>
    <row r="11" spans="1:10" ht="30.75" customHeight="1">
      <c r="A11" s="9">
        <v>9</v>
      </c>
      <c r="B11" s="10" t="str">
        <f t="shared" si="0"/>
        <v>101</v>
      </c>
      <c r="C11" s="10" t="s">
        <v>10</v>
      </c>
      <c r="D11" s="10" t="s">
        <v>14</v>
      </c>
      <c r="E11" s="10" t="str">
        <f>"乔娜"</f>
        <v>乔娜</v>
      </c>
      <c r="F11" s="10" t="str">
        <f>"女"</f>
        <v>女</v>
      </c>
      <c r="G11" s="10" t="str">
        <f>"23101010227"</f>
        <v>23101010227</v>
      </c>
      <c r="H11" s="11" t="s">
        <v>12</v>
      </c>
      <c r="I11" s="13" t="s">
        <v>13</v>
      </c>
      <c r="J11" s="3"/>
    </row>
    <row r="12" spans="1:10" ht="30.75" customHeight="1">
      <c r="A12" s="9">
        <v>10</v>
      </c>
      <c r="B12" s="10" t="str">
        <f t="shared" si="0"/>
        <v>101</v>
      </c>
      <c r="C12" s="10" t="s">
        <v>10</v>
      </c>
      <c r="D12" s="10" t="s">
        <v>14</v>
      </c>
      <c r="E12" s="10" t="str">
        <f>"段小云"</f>
        <v>段小云</v>
      </c>
      <c r="F12" s="10" t="str">
        <f>"女"</f>
        <v>女</v>
      </c>
      <c r="G12" s="10" t="str">
        <f>"23101010228"</f>
        <v>23101010228</v>
      </c>
      <c r="H12" s="12">
        <v>79.48</v>
      </c>
      <c r="I12" s="12" t="s">
        <v>15</v>
      </c>
      <c r="J12" s="3"/>
    </row>
    <row r="13" spans="1:10" ht="30.75" customHeight="1">
      <c r="A13" s="9">
        <v>11</v>
      </c>
      <c r="B13" s="10" t="str">
        <f t="shared" si="0"/>
        <v>101</v>
      </c>
      <c r="C13" s="10" t="s">
        <v>10</v>
      </c>
      <c r="D13" s="10" t="s">
        <v>14</v>
      </c>
      <c r="E13" s="10" t="str">
        <f>"何强"</f>
        <v>何强</v>
      </c>
      <c r="F13" s="10" t="str">
        <f>"男"</f>
        <v>男</v>
      </c>
      <c r="G13" s="10" t="str">
        <f>"23101010229"</f>
        <v>23101010229</v>
      </c>
      <c r="H13" s="11" t="s">
        <v>12</v>
      </c>
      <c r="I13" s="13" t="s">
        <v>13</v>
      </c>
      <c r="J13" s="3"/>
    </row>
    <row r="14" spans="1:10" ht="30.75" customHeight="1">
      <c r="A14" s="9">
        <v>12</v>
      </c>
      <c r="B14" s="10" t="str">
        <f t="shared" si="0"/>
        <v>101</v>
      </c>
      <c r="C14" s="10" t="s">
        <v>10</v>
      </c>
      <c r="D14" s="10" t="s">
        <v>14</v>
      </c>
      <c r="E14" s="10" t="str">
        <f>"哈那嘎日"</f>
        <v>哈那嘎日</v>
      </c>
      <c r="F14" s="10" t="str">
        <f>"男"</f>
        <v>男</v>
      </c>
      <c r="G14" s="10" t="str">
        <f>"23101010230"</f>
        <v>23101010230</v>
      </c>
      <c r="H14" s="12">
        <v>75.9</v>
      </c>
      <c r="I14" s="13" t="s">
        <v>13</v>
      </c>
      <c r="J14" s="3"/>
    </row>
    <row r="15" spans="1:10" ht="30.75" customHeight="1">
      <c r="A15" s="9">
        <v>13</v>
      </c>
      <c r="B15" s="10" t="str">
        <f t="shared" si="0"/>
        <v>101</v>
      </c>
      <c r="C15" s="10" t="s">
        <v>10</v>
      </c>
      <c r="D15" s="10" t="s">
        <v>14</v>
      </c>
      <c r="E15" s="10" t="str">
        <f>"乔姝敏"</f>
        <v>乔姝敏</v>
      </c>
      <c r="F15" s="10" t="str">
        <f>"女"</f>
        <v>女</v>
      </c>
      <c r="G15" s="10" t="str">
        <f>"23101010231"</f>
        <v>23101010231</v>
      </c>
      <c r="H15" s="11" t="s">
        <v>12</v>
      </c>
      <c r="I15" s="13" t="s">
        <v>13</v>
      </c>
      <c r="J15" s="3"/>
    </row>
    <row r="16" spans="1:10" ht="30.75" customHeight="1">
      <c r="A16" s="9">
        <v>14</v>
      </c>
      <c r="B16" s="10" t="str">
        <f t="shared" si="0"/>
        <v>101</v>
      </c>
      <c r="C16" s="10" t="s">
        <v>10</v>
      </c>
      <c r="D16" s="10" t="s">
        <v>14</v>
      </c>
      <c r="E16" s="10" t="str">
        <f>"邬翰东"</f>
        <v>邬翰东</v>
      </c>
      <c r="F16" s="10" t="str">
        <f>"女"</f>
        <v>女</v>
      </c>
      <c r="G16" s="10" t="str">
        <f>"23101010232"</f>
        <v>23101010232</v>
      </c>
      <c r="H16" s="11" t="s">
        <v>12</v>
      </c>
      <c r="I16" s="13" t="s">
        <v>13</v>
      </c>
      <c r="J16" s="3"/>
    </row>
    <row r="17" spans="1:10" ht="30.75" customHeight="1">
      <c r="A17" s="9">
        <v>15</v>
      </c>
      <c r="B17" s="10" t="str">
        <f t="shared" si="0"/>
        <v>101</v>
      </c>
      <c r="C17" s="10" t="s">
        <v>10</v>
      </c>
      <c r="D17" s="10" t="s">
        <v>14</v>
      </c>
      <c r="E17" s="10" t="str">
        <f>"鲁慧"</f>
        <v>鲁慧</v>
      </c>
      <c r="F17" s="10" t="str">
        <f>"女"</f>
        <v>女</v>
      </c>
      <c r="G17" s="10" t="str">
        <f>"23101010233"</f>
        <v>23101010233</v>
      </c>
      <c r="H17" s="12">
        <v>74.76</v>
      </c>
      <c r="I17" s="13" t="s">
        <v>13</v>
      </c>
      <c r="J17" s="3"/>
    </row>
    <row r="18" spans="1:10" ht="30.75" customHeight="1">
      <c r="A18" s="9">
        <v>16</v>
      </c>
      <c r="B18" s="10" t="str">
        <f t="shared" si="0"/>
        <v>101</v>
      </c>
      <c r="C18" s="10" t="s">
        <v>10</v>
      </c>
      <c r="D18" s="10" t="s">
        <v>14</v>
      </c>
      <c r="E18" s="10" t="str">
        <f>"乌日娜"</f>
        <v>乌日娜</v>
      </c>
      <c r="F18" s="10" t="str">
        <f>"女"</f>
        <v>女</v>
      </c>
      <c r="G18" s="10" t="str">
        <f>"23101010234"</f>
        <v>23101010234</v>
      </c>
      <c r="H18" s="12">
        <v>72.46</v>
      </c>
      <c r="I18" s="13" t="s">
        <v>13</v>
      </c>
      <c r="J18" s="3"/>
    </row>
    <row r="19" spans="1:10" ht="30.75" customHeight="1">
      <c r="A19" s="9">
        <v>17</v>
      </c>
      <c r="B19" s="10" t="str">
        <f t="shared" si="0"/>
        <v>101</v>
      </c>
      <c r="C19" s="10" t="s">
        <v>10</v>
      </c>
      <c r="D19" s="10" t="s">
        <v>14</v>
      </c>
      <c r="E19" s="10" t="str">
        <f>"蒙永清"</f>
        <v>蒙永清</v>
      </c>
      <c r="F19" s="10" t="str">
        <f>"男"</f>
        <v>男</v>
      </c>
      <c r="G19" s="10" t="str">
        <f>"23101010235"</f>
        <v>23101010235</v>
      </c>
      <c r="H19" s="11" t="s">
        <v>12</v>
      </c>
      <c r="I19" s="13" t="s">
        <v>13</v>
      </c>
      <c r="J19" s="3"/>
    </row>
    <row r="20" spans="1:10" ht="30.75" customHeight="1">
      <c r="A20" s="9">
        <v>18</v>
      </c>
      <c r="B20" s="10" t="str">
        <f t="shared" si="0"/>
        <v>101</v>
      </c>
      <c r="C20" s="10" t="s">
        <v>10</v>
      </c>
      <c r="D20" s="10" t="s">
        <v>14</v>
      </c>
      <c r="E20" s="10" t="str">
        <f>"李婷婷"</f>
        <v>李婷婷</v>
      </c>
      <c r="F20" s="10" t="str">
        <f>"女"</f>
        <v>女</v>
      </c>
      <c r="G20" s="10" t="str">
        <f>"23101010236"</f>
        <v>23101010236</v>
      </c>
      <c r="H20" s="11" t="s">
        <v>12</v>
      </c>
      <c r="I20" s="13" t="s">
        <v>13</v>
      </c>
      <c r="J20" s="3"/>
    </row>
    <row r="21" spans="1:10" ht="30.75" customHeight="1">
      <c r="A21" s="9">
        <v>19</v>
      </c>
      <c r="B21" s="10" t="str">
        <f t="shared" si="0"/>
        <v>101</v>
      </c>
      <c r="C21" s="10" t="s">
        <v>10</v>
      </c>
      <c r="D21" s="10" t="s">
        <v>14</v>
      </c>
      <c r="E21" s="10" t="str">
        <f>"张新乐"</f>
        <v>张新乐</v>
      </c>
      <c r="F21" s="10" t="str">
        <f>"女"</f>
        <v>女</v>
      </c>
      <c r="G21" s="10" t="str">
        <f>"23101010237"</f>
        <v>23101010237</v>
      </c>
      <c r="H21" s="11" t="s">
        <v>12</v>
      </c>
      <c r="I21" s="13" t="s">
        <v>13</v>
      </c>
      <c r="J21" s="3"/>
    </row>
    <row r="22" spans="1:10" ht="30.75" customHeight="1">
      <c r="A22" s="9">
        <v>20</v>
      </c>
      <c r="B22" s="10" t="str">
        <f t="shared" si="0"/>
        <v>101</v>
      </c>
      <c r="C22" s="10" t="s">
        <v>10</v>
      </c>
      <c r="D22" s="10" t="s">
        <v>14</v>
      </c>
      <c r="E22" s="10" t="str">
        <f>"张彩虹"</f>
        <v>张彩虹</v>
      </c>
      <c r="F22" s="10" t="str">
        <f>"女"</f>
        <v>女</v>
      </c>
      <c r="G22" s="10" t="str">
        <f>"23101010238"</f>
        <v>23101010238</v>
      </c>
      <c r="H22" s="11" t="s">
        <v>12</v>
      </c>
      <c r="I22" s="13" t="s">
        <v>13</v>
      </c>
      <c r="J22" s="3"/>
    </row>
    <row r="23" spans="1:10" ht="30.75" customHeight="1">
      <c r="A23" s="9">
        <v>21</v>
      </c>
      <c r="B23" s="10" t="str">
        <f t="shared" si="0"/>
        <v>101</v>
      </c>
      <c r="C23" s="10" t="s">
        <v>10</v>
      </c>
      <c r="D23" s="10" t="s">
        <v>14</v>
      </c>
      <c r="E23" s="10" t="str">
        <f>"江雅南"</f>
        <v>江雅南</v>
      </c>
      <c r="F23" s="10" t="str">
        <f>"女"</f>
        <v>女</v>
      </c>
      <c r="G23" s="10" t="str">
        <f>"23101010239"</f>
        <v>23101010239</v>
      </c>
      <c r="H23" s="11" t="s">
        <v>12</v>
      </c>
      <c r="I23" s="13" t="s">
        <v>13</v>
      </c>
      <c r="J23" s="3"/>
    </row>
    <row r="24" spans="1:10" ht="30.75" customHeight="1">
      <c r="A24" s="9">
        <v>22</v>
      </c>
      <c r="B24" s="10" t="str">
        <f t="shared" si="0"/>
        <v>101</v>
      </c>
      <c r="C24" s="10" t="s">
        <v>10</v>
      </c>
      <c r="D24" s="10" t="s">
        <v>14</v>
      </c>
      <c r="E24" s="10" t="str">
        <f>"雷蕾"</f>
        <v>雷蕾</v>
      </c>
      <c r="F24" s="10" t="str">
        <f>"女"</f>
        <v>女</v>
      </c>
      <c r="G24" s="10" t="str">
        <f>"23101010240"</f>
        <v>23101010240</v>
      </c>
      <c r="H24" s="11" t="s">
        <v>12</v>
      </c>
      <c r="I24" s="13" t="s">
        <v>13</v>
      </c>
      <c r="J24" s="3"/>
    </row>
    <row r="25" spans="1:10" ht="30.75" customHeight="1">
      <c r="A25" s="9">
        <v>23</v>
      </c>
      <c r="B25" s="10" t="str">
        <f t="shared" si="0"/>
        <v>101</v>
      </c>
      <c r="C25" s="10" t="s">
        <v>10</v>
      </c>
      <c r="D25" s="10" t="s">
        <v>14</v>
      </c>
      <c r="E25" s="10" t="str">
        <f>"张哲晨"</f>
        <v>张哲晨</v>
      </c>
      <c r="F25" s="10" t="str">
        <f>"男"</f>
        <v>男</v>
      </c>
      <c r="G25" s="10" t="str">
        <f>"23101010241"</f>
        <v>23101010241</v>
      </c>
      <c r="H25" s="11" t="s">
        <v>12</v>
      </c>
      <c r="I25" s="13" t="s">
        <v>13</v>
      </c>
      <c r="J25" s="3"/>
    </row>
    <row r="26" spans="1:10" ht="30.75" customHeight="1">
      <c r="A26" s="9">
        <v>24</v>
      </c>
      <c r="B26" s="10" t="str">
        <f t="shared" si="0"/>
        <v>101</v>
      </c>
      <c r="C26" s="10" t="s">
        <v>10</v>
      </c>
      <c r="D26" s="10" t="s">
        <v>14</v>
      </c>
      <c r="E26" s="10" t="str">
        <f>"王琴"</f>
        <v>王琴</v>
      </c>
      <c r="F26" s="10" t="str">
        <f>"女"</f>
        <v>女</v>
      </c>
      <c r="G26" s="10" t="str">
        <f>"23101010242"</f>
        <v>23101010242</v>
      </c>
      <c r="H26" s="12">
        <v>75.8</v>
      </c>
      <c r="I26" s="13" t="s">
        <v>13</v>
      </c>
      <c r="J26" s="3"/>
    </row>
    <row r="27" spans="1:10" ht="30.75" customHeight="1">
      <c r="A27" s="9">
        <v>25</v>
      </c>
      <c r="B27" s="10" t="str">
        <f t="shared" si="0"/>
        <v>101</v>
      </c>
      <c r="C27" s="10" t="s">
        <v>10</v>
      </c>
      <c r="D27" s="10" t="s">
        <v>14</v>
      </c>
      <c r="E27" s="10" t="str">
        <f>"青达"</f>
        <v>青达</v>
      </c>
      <c r="F27" s="10" t="str">
        <f>"女"</f>
        <v>女</v>
      </c>
      <c r="G27" s="10" t="str">
        <f>"23101010243"</f>
        <v>23101010243</v>
      </c>
      <c r="H27" s="12">
        <v>75.26</v>
      </c>
      <c r="I27" s="13" t="s">
        <v>13</v>
      </c>
      <c r="J27" s="3"/>
    </row>
    <row r="28" spans="1:10" ht="30.75" customHeight="1">
      <c r="A28" s="9">
        <v>26</v>
      </c>
      <c r="B28" s="10" t="str">
        <f t="shared" si="0"/>
        <v>101</v>
      </c>
      <c r="C28" s="10" t="s">
        <v>10</v>
      </c>
      <c r="D28" s="10" t="s">
        <v>14</v>
      </c>
      <c r="E28" s="10" t="str">
        <f>"赵珅"</f>
        <v>赵珅</v>
      </c>
      <c r="F28" s="10" t="str">
        <f>"男"</f>
        <v>男</v>
      </c>
      <c r="G28" s="10" t="str">
        <f>"23101010244"</f>
        <v>23101010244</v>
      </c>
      <c r="H28" s="11" t="s">
        <v>12</v>
      </c>
      <c r="I28" s="13" t="s">
        <v>13</v>
      </c>
      <c r="J28" s="3"/>
    </row>
    <row r="29" spans="1:10" ht="30.75" customHeight="1">
      <c r="A29" s="9">
        <v>27</v>
      </c>
      <c r="B29" s="10" t="str">
        <f t="shared" si="0"/>
        <v>101</v>
      </c>
      <c r="C29" s="10" t="s">
        <v>10</v>
      </c>
      <c r="D29" s="10" t="s">
        <v>14</v>
      </c>
      <c r="E29" s="10" t="str">
        <f>"马慧"</f>
        <v>马慧</v>
      </c>
      <c r="F29" s="10" t="str">
        <f>"女"</f>
        <v>女</v>
      </c>
      <c r="G29" s="10" t="str">
        <f>"23101010245"</f>
        <v>23101010245</v>
      </c>
      <c r="H29" s="11" t="s">
        <v>12</v>
      </c>
      <c r="I29" s="13" t="s">
        <v>13</v>
      </c>
      <c r="J29" s="3"/>
    </row>
    <row r="30" spans="1:10" ht="30.75" customHeight="1">
      <c r="A30" s="9">
        <v>28</v>
      </c>
      <c r="B30" s="10" t="str">
        <f t="shared" si="0"/>
        <v>101</v>
      </c>
      <c r="C30" s="10" t="s">
        <v>10</v>
      </c>
      <c r="D30" s="10" t="s">
        <v>14</v>
      </c>
      <c r="E30" s="10" t="str">
        <f>"李宇亭"</f>
        <v>李宇亭</v>
      </c>
      <c r="F30" s="10" t="str">
        <f>"女"</f>
        <v>女</v>
      </c>
      <c r="G30" s="10" t="str">
        <f>"23101010246"</f>
        <v>23101010246</v>
      </c>
      <c r="H30" s="12">
        <v>72.96</v>
      </c>
      <c r="I30" s="13" t="s">
        <v>13</v>
      </c>
      <c r="J30" s="3"/>
    </row>
    <row r="31" spans="1:10" ht="30.75" customHeight="1">
      <c r="A31" s="9">
        <v>29</v>
      </c>
      <c r="B31" s="10" t="str">
        <f t="shared" si="0"/>
        <v>101</v>
      </c>
      <c r="C31" s="10" t="s">
        <v>10</v>
      </c>
      <c r="D31" s="10" t="s">
        <v>14</v>
      </c>
      <c r="E31" s="10" t="str">
        <f>"马逸杰"</f>
        <v>马逸杰</v>
      </c>
      <c r="F31" s="10" t="str">
        <f>"女"</f>
        <v>女</v>
      </c>
      <c r="G31" s="10" t="str">
        <f>"23101010247"</f>
        <v>23101010247</v>
      </c>
      <c r="H31" s="11" t="s">
        <v>12</v>
      </c>
      <c r="I31" s="13" t="s">
        <v>13</v>
      </c>
      <c r="J31" s="3"/>
    </row>
    <row r="32" spans="1:10" ht="30.75" customHeight="1">
      <c r="A32" s="9">
        <v>30</v>
      </c>
      <c r="B32" s="10" t="str">
        <f t="shared" si="0"/>
        <v>101</v>
      </c>
      <c r="C32" s="10" t="s">
        <v>10</v>
      </c>
      <c r="D32" s="10" t="s">
        <v>14</v>
      </c>
      <c r="E32" s="10" t="str">
        <f>"王韵涵"</f>
        <v>王韵涵</v>
      </c>
      <c r="F32" s="10" t="str">
        <f>"女"</f>
        <v>女</v>
      </c>
      <c r="G32" s="10" t="str">
        <f>"23101010248"</f>
        <v>23101010248</v>
      </c>
      <c r="H32" s="11" t="s">
        <v>12</v>
      </c>
      <c r="I32" s="13" t="s">
        <v>13</v>
      </c>
      <c r="J32" s="3"/>
    </row>
    <row r="33" spans="1:10" ht="30.75" customHeight="1">
      <c r="A33" s="9">
        <v>31</v>
      </c>
      <c r="B33" s="10" t="str">
        <f t="shared" si="0"/>
        <v>101</v>
      </c>
      <c r="C33" s="10" t="s">
        <v>10</v>
      </c>
      <c r="D33" s="10" t="s">
        <v>14</v>
      </c>
      <c r="E33" s="10" t="str">
        <f>"曹洪瑜"</f>
        <v>曹洪瑜</v>
      </c>
      <c r="F33" s="10" t="str">
        <f>"男"</f>
        <v>男</v>
      </c>
      <c r="G33" s="10" t="str">
        <f>"23101010249"</f>
        <v>23101010249</v>
      </c>
      <c r="H33" s="12">
        <v>72.86</v>
      </c>
      <c r="I33" s="13" t="s">
        <v>13</v>
      </c>
      <c r="J33" s="3"/>
    </row>
    <row r="34" spans="1:10" ht="30.75" customHeight="1">
      <c r="A34" s="9">
        <v>32</v>
      </c>
      <c r="B34" s="10" t="str">
        <f t="shared" si="0"/>
        <v>101</v>
      </c>
      <c r="C34" s="10" t="s">
        <v>10</v>
      </c>
      <c r="D34" s="10" t="s">
        <v>14</v>
      </c>
      <c r="E34" s="10" t="str">
        <f>"耿涛"</f>
        <v>耿涛</v>
      </c>
      <c r="F34" s="10" t="str">
        <f>"男"</f>
        <v>男</v>
      </c>
      <c r="G34" s="10" t="str">
        <f>"23101010250"</f>
        <v>23101010250</v>
      </c>
      <c r="H34" s="11" t="s">
        <v>12</v>
      </c>
      <c r="I34" s="13" t="s">
        <v>13</v>
      </c>
      <c r="J34" s="3"/>
    </row>
    <row r="35" spans="1:10" ht="30.75" customHeight="1">
      <c r="A35" s="9">
        <v>33</v>
      </c>
      <c r="B35" s="10" t="str">
        <f t="shared" si="0"/>
        <v>101</v>
      </c>
      <c r="C35" s="10" t="s">
        <v>10</v>
      </c>
      <c r="D35" s="10" t="s">
        <v>14</v>
      </c>
      <c r="E35" s="10" t="str">
        <f>"乔磊"</f>
        <v>乔磊</v>
      </c>
      <c r="F35" s="10" t="str">
        <f>"男"</f>
        <v>男</v>
      </c>
      <c r="G35" s="10" t="str">
        <f>"23101010251"</f>
        <v>23101010251</v>
      </c>
      <c r="H35" s="12">
        <v>77.3</v>
      </c>
      <c r="I35" s="13" t="s">
        <v>13</v>
      </c>
      <c r="J35" s="3"/>
    </row>
    <row r="36" spans="1:10" ht="30.75" customHeight="1">
      <c r="A36" s="9">
        <v>34</v>
      </c>
      <c r="B36" s="10" t="str">
        <f t="shared" si="0"/>
        <v>101</v>
      </c>
      <c r="C36" s="10" t="s">
        <v>10</v>
      </c>
      <c r="D36" s="10" t="s">
        <v>14</v>
      </c>
      <c r="E36" s="10" t="str">
        <f>"周青"</f>
        <v>周青</v>
      </c>
      <c r="F36" s="10" t="str">
        <f>"女"</f>
        <v>女</v>
      </c>
      <c r="G36" s="10" t="str">
        <f>"23101010252"</f>
        <v>23101010252</v>
      </c>
      <c r="H36" s="11" t="s">
        <v>12</v>
      </c>
      <c r="I36" s="13" t="s">
        <v>13</v>
      </c>
      <c r="J36" s="3"/>
    </row>
    <row r="37" spans="1:10" ht="30.75" customHeight="1">
      <c r="A37" s="9">
        <v>35</v>
      </c>
      <c r="B37" s="10" t="str">
        <f t="shared" si="0"/>
        <v>101</v>
      </c>
      <c r="C37" s="10" t="s">
        <v>10</v>
      </c>
      <c r="D37" s="10" t="s">
        <v>14</v>
      </c>
      <c r="E37" s="10" t="str">
        <f>"黄昱"</f>
        <v>黄昱</v>
      </c>
      <c r="F37" s="10" t="str">
        <f>"女"</f>
        <v>女</v>
      </c>
      <c r="G37" s="10" t="str">
        <f>"23101010253"</f>
        <v>23101010253</v>
      </c>
      <c r="H37" s="11" t="s">
        <v>12</v>
      </c>
      <c r="I37" s="13" t="s">
        <v>13</v>
      </c>
      <c r="J37" s="3"/>
    </row>
    <row r="38" spans="1:10" ht="30.75" customHeight="1">
      <c r="A38" s="9">
        <v>36</v>
      </c>
      <c r="B38" s="10" t="str">
        <f t="shared" si="0"/>
        <v>101</v>
      </c>
      <c r="C38" s="10" t="s">
        <v>10</v>
      </c>
      <c r="D38" s="10" t="s">
        <v>14</v>
      </c>
      <c r="E38" s="10" t="str">
        <f>"郗梦蕊"</f>
        <v>郗梦蕊</v>
      </c>
      <c r="F38" s="10" t="str">
        <f>"女"</f>
        <v>女</v>
      </c>
      <c r="G38" s="10" t="str">
        <f>"23101010254"</f>
        <v>23101010254</v>
      </c>
      <c r="H38" s="11" t="s">
        <v>12</v>
      </c>
      <c r="I38" s="13" t="s">
        <v>13</v>
      </c>
      <c r="J38" s="3"/>
    </row>
    <row r="39" spans="1:10" ht="30.75" customHeight="1">
      <c r="A39" s="9">
        <v>37</v>
      </c>
      <c r="B39" s="10" t="str">
        <f t="shared" si="0"/>
        <v>101</v>
      </c>
      <c r="C39" s="10" t="s">
        <v>10</v>
      </c>
      <c r="D39" s="10" t="s">
        <v>14</v>
      </c>
      <c r="E39" s="10" t="str">
        <f>"张朝阳"</f>
        <v>张朝阳</v>
      </c>
      <c r="F39" s="10" t="str">
        <f>"男"</f>
        <v>男</v>
      </c>
      <c r="G39" s="10" t="str">
        <f>"23101010255"</f>
        <v>23101010255</v>
      </c>
      <c r="H39" s="11" t="s">
        <v>12</v>
      </c>
      <c r="I39" s="13" t="s">
        <v>13</v>
      </c>
      <c r="J39" s="3"/>
    </row>
    <row r="40" spans="1:10" ht="30.75" customHeight="1">
      <c r="A40" s="9">
        <v>38</v>
      </c>
      <c r="B40" s="10" t="str">
        <f t="shared" si="0"/>
        <v>101</v>
      </c>
      <c r="C40" s="10" t="s">
        <v>10</v>
      </c>
      <c r="D40" s="10" t="s">
        <v>14</v>
      </c>
      <c r="E40" s="10" t="str">
        <f>"杨昱洲"</f>
        <v>杨昱洲</v>
      </c>
      <c r="F40" s="10" t="str">
        <f>"男"</f>
        <v>男</v>
      </c>
      <c r="G40" s="10" t="str">
        <f>"23101010256"</f>
        <v>23101010256</v>
      </c>
      <c r="H40" s="11" t="s">
        <v>12</v>
      </c>
      <c r="I40" s="13" t="s">
        <v>13</v>
      </c>
      <c r="J40" s="3"/>
    </row>
    <row r="41" spans="1:10" ht="30.75" customHeight="1">
      <c r="A41" s="9">
        <v>39</v>
      </c>
      <c r="B41" s="10" t="str">
        <f t="shared" si="0"/>
        <v>101</v>
      </c>
      <c r="C41" s="10" t="s">
        <v>10</v>
      </c>
      <c r="D41" s="10" t="s">
        <v>14</v>
      </c>
      <c r="E41" s="10" t="str">
        <f>"赛娜"</f>
        <v>赛娜</v>
      </c>
      <c r="F41" s="10" t="str">
        <f aca="true" t="shared" si="1" ref="F41:F47">"女"</f>
        <v>女</v>
      </c>
      <c r="G41" s="10" t="str">
        <f>"23101010257"</f>
        <v>23101010257</v>
      </c>
      <c r="H41" s="12">
        <v>75.16</v>
      </c>
      <c r="I41" s="13" t="s">
        <v>13</v>
      </c>
      <c r="J41" s="3"/>
    </row>
    <row r="42" spans="1:10" ht="30.75" customHeight="1">
      <c r="A42" s="9">
        <v>40</v>
      </c>
      <c r="B42" s="10" t="str">
        <f t="shared" si="0"/>
        <v>101</v>
      </c>
      <c r="C42" s="10" t="s">
        <v>10</v>
      </c>
      <c r="D42" s="10" t="s">
        <v>14</v>
      </c>
      <c r="E42" s="10" t="str">
        <f>"呼荣"</f>
        <v>呼荣</v>
      </c>
      <c r="F42" s="10" t="str">
        <f t="shared" si="1"/>
        <v>女</v>
      </c>
      <c r="G42" s="10" t="str">
        <f>"23101010258"</f>
        <v>23101010258</v>
      </c>
      <c r="H42" s="11" t="s">
        <v>12</v>
      </c>
      <c r="I42" s="13" t="s">
        <v>13</v>
      </c>
      <c r="J42" s="3"/>
    </row>
    <row r="43" spans="1:10" ht="30.75" customHeight="1">
      <c r="A43" s="9">
        <v>41</v>
      </c>
      <c r="B43" s="10" t="str">
        <f t="shared" si="0"/>
        <v>101</v>
      </c>
      <c r="C43" s="10" t="s">
        <v>10</v>
      </c>
      <c r="D43" s="10" t="s">
        <v>14</v>
      </c>
      <c r="E43" s="10" t="str">
        <f>"梁晓波"</f>
        <v>梁晓波</v>
      </c>
      <c r="F43" s="10" t="str">
        <f t="shared" si="1"/>
        <v>女</v>
      </c>
      <c r="G43" s="10" t="str">
        <f>"23101010259"</f>
        <v>23101010259</v>
      </c>
      <c r="H43" s="12">
        <v>73.52</v>
      </c>
      <c r="I43" s="13" t="s">
        <v>13</v>
      </c>
      <c r="J43" s="3"/>
    </row>
    <row r="44" spans="1:10" ht="30.75" customHeight="1">
      <c r="A44" s="9">
        <v>42</v>
      </c>
      <c r="B44" s="10" t="str">
        <f t="shared" si="0"/>
        <v>101</v>
      </c>
      <c r="C44" s="10" t="s">
        <v>10</v>
      </c>
      <c r="D44" s="10" t="s">
        <v>14</v>
      </c>
      <c r="E44" s="10" t="str">
        <f>"董菊萍"</f>
        <v>董菊萍</v>
      </c>
      <c r="F44" s="10" t="str">
        <f t="shared" si="1"/>
        <v>女</v>
      </c>
      <c r="G44" s="10" t="str">
        <f>"23101010260"</f>
        <v>23101010260</v>
      </c>
      <c r="H44" s="11" t="s">
        <v>12</v>
      </c>
      <c r="I44" s="13" t="s">
        <v>13</v>
      </c>
      <c r="J44" s="3"/>
    </row>
    <row r="45" spans="1:10" ht="30.75" customHeight="1">
      <c r="A45" s="9">
        <v>43</v>
      </c>
      <c r="B45" s="10" t="str">
        <f t="shared" si="0"/>
        <v>101</v>
      </c>
      <c r="C45" s="10" t="s">
        <v>10</v>
      </c>
      <c r="D45" s="10" t="s">
        <v>14</v>
      </c>
      <c r="E45" s="10" t="str">
        <f>"魏凤梅"</f>
        <v>魏凤梅</v>
      </c>
      <c r="F45" s="10" t="str">
        <f t="shared" si="1"/>
        <v>女</v>
      </c>
      <c r="G45" s="10" t="str">
        <f>"23101010261"</f>
        <v>23101010261</v>
      </c>
      <c r="H45" s="11" t="s">
        <v>12</v>
      </c>
      <c r="I45" s="13" t="s">
        <v>13</v>
      </c>
      <c r="J45" s="3"/>
    </row>
    <row r="46" spans="1:10" ht="30.75" customHeight="1">
      <c r="A46" s="9">
        <v>44</v>
      </c>
      <c r="B46" s="10" t="str">
        <f t="shared" si="0"/>
        <v>101</v>
      </c>
      <c r="C46" s="10" t="s">
        <v>10</v>
      </c>
      <c r="D46" s="10" t="s">
        <v>14</v>
      </c>
      <c r="E46" s="10" t="str">
        <f>"曹莉婷"</f>
        <v>曹莉婷</v>
      </c>
      <c r="F46" s="10" t="str">
        <f t="shared" si="1"/>
        <v>女</v>
      </c>
      <c r="G46" s="10" t="str">
        <f>"23101010262"</f>
        <v>23101010262</v>
      </c>
      <c r="H46" s="12">
        <v>73.52</v>
      </c>
      <c r="I46" s="13" t="s">
        <v>13</v>
      </c>
      <c r="J46" s="3"/>
    </row>
    <row r="47" spans="1:10" ht="30.75" customHeight="1">
      <c r="A47" s="9">
        <v>45</v>
      </c>
      <c r="B47" s="10" t="str">
        <f t="shared" si="0"/>
        <v>101</v>
      </c>
      <c r="C47" s="10" t="s">
        <v>10</v>
      </c>
      <c r="D47" s="10" t="s">
        <v>14</v>
      </c>
      <c r="E47" s="10" t="str">
        <f>"吴立华"</f>
        <v>吴立华</v>
      </c>
      <c r="F47" s="10" t="str">
        <f t="shared" si="1"/>
        <v>女</v>
      </c>
      <c r="G47" s="10" t="str">
        <f>"23101010263"</f>
        <v>23101010263</v>
      </c>
      <c r="H47" s="11" t="s">
        <v>12</v>
      </c>
      <c r="I47" s="13" t="s">
        <v>13</v>
      </c>
      <c r="J47" s="3"/>
    </row>
    <row r="48" spans="1:10" ht="30.75" customHeight="1">
      <c r="A48" s="9">
        <v>46</v>
      </c>
      <c r="B48" s="10" t="str">
        <f t="shared" si="0"/>
        <v>101</v>
      </c>
      <c r="C48" s="10" t="s">
        <v>10</v>
      </c>
      <c r="D48" s="10" t="s">
        <v>14</v>
      </c>
      <c r="E48" s="10" t="str">
        <f>"黄同可"</f>
        <v>黄同可</v>
      </c>
      <c r="F48" s="10" t="str">
        <f>"男"</f>
        <v>男</v>
      </c>
      <c r="G48" s="10" t="str">
        <f>"23101010264"</f>
        <v>23101010264</v>
      </c>
      <c r="H48" s="12">
        <v>72.8</v>
      </c>
      <c r="I48" s="13" t="s">
        <v>13</v>
      </c>
      <c r="J48" s="3"/>
    </row>
    <row r="49" spans="1:10" ht="30.75" customHeight="1">
      <c r="A49" s="9">
        <v>47</v>
      </c>
      <c r="B49" s="10" t="str">
        <f aca="true" t="shared" si="2" ref="B49:B62">"102"</f>
        <v>102</v>
      </c>
      <c r="C49" s="10" t="s">
        <v>16</v>
      </c>
      <c r="D49" s="10" t="s">
        <v>17</v>
      </c>
      <c r="E49" s="10" t="str">
        <f>"乌都娜"</f>
        <v>乌都娜</v>
      </c>
      <c r="F49" s="10" t="str">
        <f>"女"</f>
        <v>女</v>
      </c>
      <c r="G49" s="10" t="str">
        <f>"23102010301"</f>
        <v>23102010301</v>
      </c>
      <c r="H49" s="10">
        <v>76.14</v>
      </c>
      <c r="I49" s="13" t="s">
        <v>13</v>
      </c>
      <c r="J49" s="3"/>
    </row>
    <row r="50" spans="1:10" ht="30.75" customHeight="1">
      <c r="A50" s="9">
        <v>48</v>
      </c>
      <c r="B50" s="10" t="str">
        <f t="shared" si="2"/>
        <v>102</v>
      </c>
      <c r="C50" s="10" t="s">
        <v>16</v>
      </c>
      <c r="D50" s="10" t="s">
        <v>17</v>
      </c>
      <c r="E50" s="10" t="str">
        <f>"李超然"</f>
        <v>李超然</v>
      </c>
      <c r="F50" s="10" t="str">
        <f>"女"</f>
        <v>女</v>
      </c>
      <c r="G50" s="10" t="str">
        <f>"23102010302"</f>
        <v>23102010302</v>
      </c>
      <c r="H50" s="10">
        <v>76.64</v>
      </c>
      <c r="I50" s="13" t="s">
        <v>13</v>
      </c>
      <c r="J50" s="3"/>
    </row>
    <row r="51" spans="1:10" ht="30.75" customHeight="1">
      <c r="A51" s="9">
        <v>49</v>
      </c>
      <c r="B51" s="10" t="str">
        <f t="shared" si="2"/>
        <v>102</v>
      </c>
      <c r="C51" s="10" t="s">
        <v>16</v>
      </c>
      <c r="D51" s="10" t="s">
        <v>17</v>
      </c>
      <c r="E51" s="10" t="str">
        <f>"乌日差呼"</f>
        <v>乌日差呼</v>
      </c>
      <c r="F51" s="10" t="str">
        <f>"女"</f>
        <v>女</v>
      </c>
      <c r="G51" s="10" t="str">
        <f>"23102010303"</f>
        <v>23102010303</v>
      </c>
      <c r="H51" s="11" t="s">
        <v>12</v>
      </c>
      <c r="I51" s="13" t="s">
        <v>13</v>
      </c>
      <c r="J51" s="3"/>
    </row>
    <row r="52" spans="1:10" ht="30.75" customHeight="1">
      <c r="A52" s="9">
        <v>50</v>
      </c>
      <c r="B52" s="10" t="str">
        <f t="shared" si="2"/>
        <v>102</v>
      </c>
      <c r="C52" s="10" t="s">
        <v>16</v>
      </c>
      <c r="D52" s="10" t="s">
        <v>17</v>
      </c>
      <c r="E52" s="10" t="str">
        <f>"宋新越"</f>
        <v>宋新越</v>
      </c>
      <c r="F52" s="10" t="str">
        <f>"女"</f>
        <v>女</v>
      </c>
      <c r="G52" s="10" t="str">
        <f>"23102010304"</f>
        <v>23102010304</v>
      </c>
      <c r="H52" s="11" t="s">
        <v>12</v>
      </c>
      <c r="I52" s="13" t="s">
        <v>13</v>
      </c>
      <c r="J52" s="3"/>
    </row>
    <row r="53" spans="1:10" ht="30.75" customHeight="1">
      <c r="A53" s="9">
        <v>51</v>
      </c>
      <c r="B53" s="10" t="str">
        <f t="shared" si="2"/>
        <v>102</v>
      </c>
      <c r="C53" s="10" t="s">
        <v>16</v>
      </c>
      <c r="D53" s="10" t="s">
        <v>17</v>
      </c>
      <c r="E53" s="10" t="str">
        <f>"白雅光"</f>
        <v>白雅光</v>
      </c>
      <c r="F53" s="10" t="str">
        <f>"男"</f>
        <v>男</v>
      </c>
      <c r="G53" s="10" t="str">
        <f>"23102010305"</f>
        <v>23102010305</v>
      </c>
      <c r="H53" s="10">
        <v>69.26</v>
      </c>
      <c r="I53" s="13" t="s">
        <v>13</v>
      </c>
      <c r="J53" s="3"/>
    </row>
    <row r="54" spans="1:10" ht="30.75" customHeight="1">
      <c r="A54" s="9">
        <v>52</v>
      </c>
      <c r="B54" s="10" t="str">
        <f t="shared" si="2"/>
        <v>102</v>
      </c>
      <c r="C54" s="10" t="s">
        <v>16</v>
      </c>
      <c r="D54" s="10" t="s">
        <v>17</v>
      </c>
      <c r="E54" s="10" t="str">
        <f>"满喜"</f>
        <v>满喜</v>
      </c>
      <c r="F54" s="10" t="str">
        <f>"女"</f>
        <v>女</v>
      </c>
      <c r="G54" s="10" t="str">
        <f>"23102010306"</f>
        <v>23102010306</v>
      </c>
      <c r="H54" s="11" t="s">
        <v>12</v>
      </c>
      <c r="I54" s="13" t="s">
        <v>13</v>
      </c>
      <c r="J54" s="3"/>
    </row>
    <row r="55" spans="1:10" ht="30.75" customHeight="1">
      <c r="A55" s="9">
        <v>53</v>
      </c>
      <c r="B55" s="10" t="str">
        <f t="shared" si="2"/>
        <v>102</v>
      </c>
      <c r="C55" s="10" t="s">
        <v>16</v>
      </c>
      <c r="D55" s="10" t="s">
        <v>17</v>
      </c>
      <c r="E55" s="10" t="str">
        <f>"刘馨蝶"</f>
        <v>刘馨蝶</v>
      </c>
      <c r="F55" s="10" t="str">
        <f>"女"</f>
        <v>女</v>
      </c>
      <c r="G55" s="10" t="str">
        <f>"23102010307"</f>
        <v>23102010307</v>
      </c>
      <c r="H55" s="11" t="s">
        <v>12</v>
      </c>
      <c r="I55" s="13" t="s">
        <v>13</v>
      </c>
      <c r="J55" s="3"/>
    </row>
    <row r="56" spans="1:10" ht="30.75" customHeight="1">
      <c r="A56" s="9">
        <v>54</v>
      </c>
      <c r="B56" s="10" t="str">
        <f t="shared" si="2"/>
        <v>102</v>
      </c>
      <c r="C56" s="10" t="s">
        <v>16</v>
      </c>
      <c r="D56" s="10" t="s">
        <v>17</v>
      </c>
      <c r="E56" s="10" t="str">
        <f>"刘畅"</f>
        <v>刘畅</v>
      </c>
      <c r="F56" s="10" t="str">
        <f>"女"</f>
        <v>女</v>
      </c>
      <c r="G56" s="10" t="str">
        <f>"23102010308"</f>
        <v>23102010308</v>
      </c>
      <c r="H56" s="11" t="s">
        <v>12</v>
      </c>
      <c r="I56" s="13" t="s">
        <v>13</v>
      </c>
      <c r="J56" s="3"/>
    </row>
    <row r="57" spans="1:10" ht="30.75" customHeight="1">
      <c r="A57" s="9">
        <v>55</v>
      </c>
      <c r="B57" s="10" t="str">
        <f t="shared" si="2"/>
        <v>102</v>
      </c>
      <c r="C57" s="10" t="s">
        <v>16</v>
      </c>
      <c r="D57" s="10" t="s">
        <v>17</v>
      </c>
      <c r="E57" s="10" t="str">
        <f>"乌云萨娜"</f>
        <v>乌云萨娜</v>
      </c>
      <c r="F57" s="10" t="str">
        <f>"女"</f>
        <v>女</v>
      </c>
      <c r="G57" s="10" t="str">
        <f>"23102010309"</f>
        <v>23102010309</v>
      </c>
      <c r="H57" s="10">
        <v>72.88</v>
      </c>
      <c r="I57" s="13" t="s">
        <v>13</v>
      </c>
      <c r="J57" s="3"/>
    </row>
    <row r="58" spans="1:10" ht="30.75" customHeight="1">
      <c r="A58" s="9">
        <v>56</v>
      </c>
      <c r="B58" s="10" t="str">
        <f t="shared" si="2"/>
        <v>102</v>
      </c>
      <c r="C58" s="10" t="s">
        <v>16</v>
      </c>
      <c r="D58" s="10" t="s">
        <v>17</v>
      </c>
      <c r="E58" s="10" t="str">
        <f>"刘海涛"</f>
        <v>刘海涛</v>
      </c>
      <c r="F58" s="10" t="str">
        <f>"男"</f>
        <v>男</v>
      </c>
      <c r="G58" s="10" t="str">
        <f>"23102010310"</f>
        <v>23102010310</v>
      </c>
      <c r="H58" s="11" t="s">
        <v>12</v>
      </c>
      <c r="I58" s="13" t="s">
        <v>13</v>
      </c>
      <c r="J58" s="3"/>
    </row>
    <row r="59" spans="1:10" ht="30.75" customHeight="1">
      <c r="A59" s="9">
        <v>57</v>
      </c>
      <c r="B59" s="10" t="str">
        <f t="shared" si="2"/>
        <v>102</v>
      </c>
      <c r="C59" s="10" t="s">
        <v>16</v>
      </c>
      <c r="D59" s="10" t="s">
        <v>17</v>
      </c>
      <c r="E59" s="10" t="str">
        <f>"吕萌"</f>
        <v>吕萌</v>
      </c>
      <c r="F59" s="10" t="str">
        <f>"女"</f>
        <v>女</v>
      </c>
      <c r="G59" s="10" t="str">
        <f>"23102010311"</f>
        <v>23102010311</v>
      </c>
      <c r="H59" s="11" t="s">
        <v>12</v>
      </c>
      <c r="I59" s="13" t="s">
        <v>13</v>
      </c>
      <c r="J59" s="3"/>
    </row>
    <row r="60" spans="1:10" ht="30.75" customHeight="1">
      <c r="A60" s="9">
        <v>58</v>
      </c>
      <c r="B60" s="10" t="str">
        <f t="shared" si="2"/>
        <v>102</v>
      </c>
      <c r="C60" s="10" t="s">
        <v>16</v>
      </c>
      <c r="D60" s="10" t="s">
        <v>17</v>
      </c>
      <c r="E60" s="10" t="str">
        <f>"赵铭微"</f>
        <v>赵铭微</v>
      </c>
      <c r="F60" s="10" t="str">
        <f>"女"</f>
        <v>女</v>
      </c>
      <c r="G60" s="10" t="str">
        <f>"23102010312"</f>
        <v>23102010312</v>
      </c>
      <c r="H60" s="10">
        <v>81.96</v>
      </c>
      <c r="I60" s="10" t="s">
        <v>15</v>
      </c>
      <c r="J60" s="3"/>
    </row>
    <row r="61" spans="1:10" ht="30.75" customHeight="1">
      <c r="A61" s="9">
        <v>59</v>
      </c>
      <c r="B61" s="10" t="str">
        <f t="shared" si="2"/>
        <v>102</v>
      </c>
      <c r="C61" s="10" t="s">
        <v>16</v>
      </c>
      <c r="D61" s="10" t="s">
        <v>17</v>
      </c>
      <c r="E61" s="10" t="str">
        <f>"侯晓敏"</f>
        <v>侯晓敏</v>
      </c>
      <c r="F61" s="10" t="str">
        <f>"女"</f>
        <v>女</v>
      </c>
      <c r="G61" s="10" t="str">
        <f>"23102010313"</f>
        <v>23102010313</v>
      </c>
      <c r="H61" s="11" t="s">
        <v>12</v>
      </c>
      <c r="I61" s="13" t="s">
        <v>13</v>
      </c>
      <c r="J61" s="3"/>
    </row>
    <row r="62" spans="1:10" ht="30.75" customHeight="1">
      <c r="A62" s="9">
        <v>60</v>
      </c>
      <c r="B62" s="10" t="str">
        <f t="shared" si="2"/>
        <v>102</v>
      </c>
      <c r="C62" s="10" t="s">
        <v>16</v>
      </c>
      <c r="D62" s="10" t="s">
        <v>17</v>
      </c>
      <c r="E62" s="10" t="str">
        <f>"特日格乐"</f>
        <v>特日格乐</v>
      </c>
      <c r="F62" s="10" t="str">
        <f>"女"</f>
        <v>女</v>
      </c>
      <c r="G62" s="10" t="str">
        <f>"23102010314"</f>
        <v>23102010314</v>
      </c>
      <c r="H62" s="10">
        <v>81.18</v>
      </c>
      <c r="I62" s="13" t="s">
        <v>13</v>
      </c>
      <c r="J62" s="3"/>
    </row>
    <row r="63" spans="1:10" ht="30.75" customHeight="1">
      <c r="A63" s="9">
        <v>61</v>
      </c>
      <c r="B63" s="10" t="str">
        <f>"103"</f>
        <v>103</v>
      </c>
      <c r="C63" s="10" t="s">
        <v>18</v>
      </c>
      <c r="D63" s="10" t="s">
        <v>17</v>
      </c>
      <c r="E63" s="10" t="str">
        <f>"明干其其格"</f>
        <v>明干其其格</v>
      </c>
      <c r="F63" s="10" t="str">
        <f>"女"</f>
        <v>女</v>
      </c>
      <c r="G63" s="10" t="str">
        <f>"23103010201"</f>
        <v>23103010201</v>
      </c>
      <c r="H63" s="11" t="s">
        <v>12</v>
      </c>
      <c r="I63" s="13" t="s">
        <v>13</v>
      </c>
      <c r="J63" s="3"/>
    </row>
    <row r="64" spans="1:10" ht="30.75" customHeight="1">
      <c r="A64" s="9">
        <v>62</v>
      </c>
      <c r="B64" s="10" t="str">
        <f>"103"</f>
        <v>103</v>
      </c>
      <c r="C64" s="10" t="s">
        <v>18</v>
      </c>
      <c r="D64" s="10" t="s">
        <v>17</v>
      </c>
      <c r="E64" s="10" t="str">
        <f>"李旺"</f>
        <v>李旺</v>
      </c>
      <c r="F64" s="10" t="str">
        <f>"男"</f>
        <v>男</v>
      </c>
      <c r="G64" s="10" t="str">
        <f>"23103010202"</f>
        <v>23103010202</v>
      </c>
      <c r="H64" s="11" t="s">
        <v>12</v>
      </c>
      <c r="I64" s="13" t="s">
        <v>13</v>
      </c>
      <c r="J64" s="3"/>
    </row>
    <row r="65" spans="1:10" ht="30.75" customHeight="1">
      <c r="A65" s="9">
        <v>63</v>
      </c>
      <c r="B65" s="10" t="str">
        <f>"103"</f>
        <v>103</v>
      </c>
      <c r="C65" s="10" t="s">
        <v>18</v>
      </c>
      <c r="D65" s="10" t="s">
        <v>17</v>
      </c>
      <c r="E65" s="10" t="str">
        <f>"菅贺廷"</f>
        <v>菅贺廷</v>
      </c>
      <c r="F65" s="10" t="str">
        <f>"男"</f>
        <v>男</v>
      </c>
      <c r="G65" s="10" t="str">
        <f>"23103010203"</f>
        <v>23103010203</v>
      </c>
      <c r="H65" s="10">
        <v>75.38</v>
      </c>
      <c r="I65" s="10" t="s">
        <v>15</v>
      </c>
      <c r="J65" s="3"/>
    </row>
    <row r="66" spans="1:10" ht="30.75" customHeight="1">
      <c r="A66" s="9">
        <v>64</v>
      </c>
      <c r="B66" s="10" t="str">
        <f>"103"</f>
        <v>103</v>
      </c>
      <c r="C66" s="10" t="s">
        <v>18</v>
      </c>
      <c r="D66" s="10" t="s">
        <v>17</v>
      </c>
      <c r="E66" s="10" t="str">
        <f>"李小龙"</f>
        <v>李小龙</v>
      </c>
      <c r="F66" s="10" t="str">
        <f>"男"</f>
        <v>男</v>
      </c>
      <c r="G66" s="10" t="str">
        <f>"23103010204"</f>
        <v>23103010204</v>
      </c>
      <c r="H66" s="11" t="s">
        <v>12</v>
      </c>
      <c r="I66" s="13" t="s">
        <v>13</v>
      </c>
      <c r="J66" s="3"/>
    </row>
    <row r="67" spans="1:10" ht="30.75" customHeight="1">
      <c r="A67" s="9">
        <v>65</v>
      </c>
      <c r="B67" s="10" t="str">
        <f aca="true" t="shared" si="3" ref="B67:B76">"104"</f>
        <v>104</v>
      </c>
      <c r="C67" s="10" t="s">
        <v>19</v>
      </c>
      <c r="D67" s="10" t="s">
        <v>20</v>
      </c>
      <c r="E67" s="10" t="str">
        <f>"蒋莉"</f>
        <v>蒋莉</v>
      </c>
      <c r="F67" s="10" t="str">
        <f>"女"</f>
        <v>女</v>
      </c>
      <c r="G67" s="10" t="str">
        <f>"23104010209"</f>
        <v>23104010209</v>
      </c>
      <c r="H67" s="11" t="s">
        <v>12</v>
      </c>
      <c r="I67" s="13" t="s">
        <v>13</v>
      </c>
      <c r="J67" s="3"/>
    </row>
    <row r="68" spans="1:10" ht="30.75" customHeight="1">
      <c r="A68" s="9">
        <v>66</v>
      </c>
      <c r="B68" s="10" t="str">
        <f t="shared" si="3"/>
        <v>104</v>
      </c>
      <c r="C68" s="10" t="s">
        <v>19</v>
      </c>
      <c r="D68" s="10" t="s">
        <v>20</v>
      </c>
      <c r="E68" s="10" t="str">
        <f>"李升"</f>
        <v>李升</v>
      </c>
      <c r="F68" s="10" t="str">
        <f aca="true" t="shared" si="4" ref="F68:F74">"男"</f>
        <v>男</v>
      </c>
      <c r="G68" s="10" t="str">
        <f>"23104010210"</f>
        <v>23104010210</v>
      </c>
      <c r="H68" s="10">
        <v>78.14</v>
      </c>
      <c r="I68" s="10" t="s">
        <v>15</v>
      </c>
      <c r="J68" s="3"/>
    </row>
    <row r="69" spans="1:10" ht="30.75" customHeight="1">
      <c r="A69" s="9">
        <v>67</v>
      </c>
      <c r="B69" s="10" t="str">
        <f t="shared" si="3"/>
        <v>104</v>
      </c>
      <c r="C69" s="10" t="s">
        <v>19</v>
      </c>
      <c r="D69" s="10" t="s">
        <v>20</v>
      </c>
      <c r="E69" s="10" t="str">
        <f>"杨鑫宇"</f>
        <v>杨鑫宇</v>
      </c>
      <c r="F69" s="10" t="str">
        <f t="shared" si="4"/>
        <v>男</v>
      </c>
      <c r="G69" s="10" t="str">
        <f>"23104010211"</f>
        <v>23104010211</v>
      </c>
      <c r="H69" s="10">
        <v>63.44</v>
      </c>
      <c r="I69" s="13" t="s">
        <v>13</v>
      </c>
      <c r="J69" s="3"/>
    </row>
    <row r="70" spans="1:10" ht="30.75" customHeight="1">
      <c r="A70" s="9">
        <v>68</v>
      </c>
      <c r="B70" s="10" t="str">
        <f t="shared" si="3"/>
        <v>104</v>
      </c>
      <c r="C70" s="10" t="s">
        <v>19</v>
      </c>
      <c r="D70" s="10" t="s">
        <v>20</v>
      </c>
      <c r="E70" s="10" t="str">
        <f>"杜经纬"</f>
        <v>杜经纬</v>
      </c>
      <c r="F70" s="10" t="str">
        <f t="shared" si="4"/>
        <v>男</v>
      </c>
      <c r="G70" s="10" t="str">
        <f>"23104010212"</f>
        <v>23104010212</v>
      </c>
      <c r="H70" s="11" t="s">
        <v>12</v>
      </c>
      <c r="I70" s="13" t="s">
        <v>13</v>
      </c>
      <c r="J70" s="3"/>
    </row>
    <row r="71" spans="1:10" ht="30.75" customHeight="1">
      <c r="A71" s="9">
        <v>69</v>
      </c>
      <c r="B71" s="10" t="str">
        <f t="shared" si="3"/>
        <v>104</v>
      </c>
      <c r="C71" s="10" t="s">
        <v>19</v>
      </c>
      <c r="D71" s="10" t="s">
        <v>20</v>
      </c>
      <c r="E71" s="10" t="str">
        <f>"陈宇豪"</f>
        <v>陈宇豪</v>
      </c>
      <c r="F71" s="10" t="str">
        <f t="shared" si="4"/>
        <v>男</v>
      </c>
      <c r="G71" s="10" t="str">
        <f>"23104010213"</f>
        <v>23104010213</v>
      </c>
      <c r="H71" s="11" t="s">
        <v>12</v>
      </c>
      <c r="I71" s="13" t="s">
        <v>13</v>
      </c>
      <c r="J71" s="3"/>
    </row>
    <row r="72" spans="1:10" ht="30.75" customHeight="1">
      <c r="A72" s="9">
        <v>70</v>
      </c>
      <c r="B72" s="10" t="str">
        <f t="shared" si="3"/>
        <v>104</v>
      </c>
      <c r="C72" s="10" t="s">
        <v>19</v>
      </c>
      <c r="D72" s="10" t="s">
        <v>20</v>
      </c>
      <c r="E72" s="10" t="str">
        <f>"王磊"</f>
        <v>王磊</v>
      </c>
      <c r="F72" s="10" t="str">
        <f t="shared" si="4"/>
        <v>男</v>
      </c>
      <c r="G72" s="10" t="str">
        <f>"23104010214"</f>
        <v>23104010214</v>
      </c>
      <c r="H72" s="11" t="s">
        <v>12</v>
      </c>
      <c r="I72" s="13" t="s">
        <v>13</v>
      </c>
      <c r="J72" s="3"/>
    </row>
    <row r="73" spans="1:10" ht="30.75" customHeight="1">
      <c r="A73" s="9">
        <v>71</v>
      </c>
      <c r="B73" s="10" t="str">
        <f t="shared" si="3"/>
        <v>104</v>
      </c>
      <c r="C73" s="10" t="s">
        <v>19</v>
      </c>
      <c r="D73" s="10" t="s">
        <v>20</v>
      </c>
      <c r="E73" s="10" t="str">
        <f>"栗仲嵘"</f>
        <v>栗仲嵘</v>
      </c>
      <c r="F73" s="10" t="str">
        <f t="shared" si="4"/>
        <v>男</v>
      </c>
      <c r="G73" s="10" t="str">
        <f>"23104010215"</f>
        <v>23104010215</v>
      </c>
      <c r="H73" s="10">
        <v>79.32</v>
      </c>
      <c r="I73" s="10" t="s">
        <v>15</v>
      </c>
      <c r="J73" s="3"/>
    </row>
    <row r="74" spans="1:10" ht="30.75" customHeight="1">
      <c r="A74" s="9">
        <v>72</v>
      </c>
      <c r="B74" s="10" t="str">
        <f t="shared" si="3"/>
        <v>104</v>
      </c>
      <c r="C74" s="10" t="s">
        <v>19</v>
      </c>
      <c r="D74" s="10" t="s">
        <v>20</v>
      </c>
      <c r="E74" s="10" t="str">
        <f>"孙少杰"</f>
        <v>孙少杰</v>
      </c>
      <c r="F74" s="10" t="str">
        <f t="shared" si="4"/>
        <v>男</v>
      </c>
      <c r="G74" s="10" t="str">
        <f>"23104010216"</f>
        <v>23104010216</v>
      </c>
      <c r="H74" s="10">
        <v>76.64</v>
      </c>
      <c r="I74" s="13" t="s">
        <v>13</v>
      </c>
      <c r="J74" s="3"/>
    </row>
    <row r="75" spans="1:10" ht="30.75" customHeight="1">
      <c r="A75" s="9">
        <v>73</v>
      </c>
      <c r="B75" s="10" t="str">
        <f t="shared" si="3"/>
        <v>104</v>
      </c>
      <c r="C75" s="10" t="s">
        <v>19</v>
      </c>
      <c r="D75" s="10" t="s">
        <v>20</v>
      </c>
      <c r="E75" s="10" t="str">
        <f>"胡妍"</f>
        <v>胡妍</v>
      </c>
      <c r="F75" s="10" t="str">
        <f>"女"</f>
        <v>女</v>
      </c>
      <c r="G75" s="10" t="str">
        <f>"23104010217"</f>
        <v>23104010217</v>
      </c>
      <c r="H75" s="11" t="s">
        <v>12</v>
      </c>
      <c r="I75" s="13" t="s">
        <v>13</v>
      </c>
      <c r="J75" s="3"/>
    </row>
    <row r="76" spans="1:10" ht="30.75" customHeight="1">
      <c r="A76" s="9">
        <v>74</v>
      </c>
      <c r="B76" s="10" t="str">
        <f t="shared" si="3"/>
        <v>104</v>
      </c>
      <c r="C76" s="10" t="s">
        <v>19</v>
      </c>
      <c r="D76" s="10" t="s">
        <v>20</v>
      </c>
      <c r="E76" s="10" t="str">
        <f>"武蓉蓉"</f>
        <v>武蓉蓉</v>
      </c>
      <c r="F76" s="10" t="str">
        <f>"女"</f>
        <v>女</v>
      </c>
      <c r="G76" s="10" t="str">
        <f>"23104010218"</f>
        <v>23104010218</v>
      </c>
      <c r="H76" s="10">
        <v>74.68</v>
      </c>
      <c r="I76" s="13" t="s">
        <v>13</v>
      </c>
      <c r="J76" s="3"/>
    </row>
    <row r="77" spans="1:10" ht="30.75" customHeight="1">
      <c r="A77" s="9">
        <v>75</v>
      </c>
      <c r="B77" s="10" t="str">
        <f aca="true" t="shared" si="5" ref="B77:B90">"105"</f>
        <v>105</v>
      </c>
      <c r="C77" s="10" t="s">
        <v>21</v>
      </c>
      <c r="D77" s="10" t="s">
        <v>22</v>
      </c>
      <c r="E77" s="10" t="str">
        <f>"段一波"</f>
        <v>段一波</v>
      </c>
      <c r="F77" s="10" t="str">
        <f>"男"</f>
        <v>男</v>
      </c>
      <c r="G77" s="10" t="str">
        <f>"23105010315"</f>
        <v>23105010315</v>
      </c>
      <c r="H77" s="12">
        <v>75.22</v>
      </c>
      <c r="I77" s="13" t="s">
        <v>13</v>
      </c>
      <c r="J77" s="3"/>
    </row>
    <row r="78" spans="1:10" ht="30.75" customHeight="1">
      <c r="A78" s="9">
        <v>76</v>
      </c>
      <c r="B78" s="10" t="str">
        <f t="shared" si="5"/>
        <v>105</v>
      </c>
      <c r="C78" s="10" t="s">
        <v>21</v>
      </c>
      <c r="D78" s="10" t="s">
        <v>22</v>
      </c>
      <c r="E78" s="10" t="str">
        <f>"阿拉腾牧其尔"</f>
        <v>阿拉腾牧其尔</v>
      </c>
      <c r="F78" s="10" t="str">
        <f>"男"</f>
        <v>男</v>
      </c>
      <c r="G78" s="10" t="str">
        <f>"23105010316"</f>
        <v>23105010316</v>
      </c>
      <c r="H78" s="11" t="s">
        <v>12</v>
      </c>
      <c r="I78" s="13" t="s">
        <v>13</v>
      </c>
      <c r="J78" s="3"/>
    </row>
    <row r="79" spans="1:10" ht="30.75" customHeight="1">
      <c r="A79" s="9">
        <v>77</v>
      </c>
      <c r="B79" s="10" t="str">
        <f t="shared" si="5"/>
        <v>105</v>
      </c>
      <c r="C79" s="10" t="s">
        <v>21</v>
      </c>
      <c r="D79" s="10" t="s">
        <v>22</v>
      </c>
      <c r="E79" s="10" t="str">
        <f>"周欣晨"</f>
        <v>周欣晨</v>
      </c>
      <c r="F79" s="10" t="str">
        <f>"女"</f>
        <v>女</v>
      </c>
      <c r="G79" s="10" t="str">
        <f>"23105010317"</f>
        <v>23105010317</v>
      </c>
      <c r="H79" s="11" t="s">
        <v>12</v>
      </c>
      <c r="I79" s="13" t="s">
        <v>13</v>
      </c>
      <c r="J79" s="3"/>
    </row>
    <row r="80" spans="1:10" ht="30.75" customHeight="1">
      <c r="A80" s="9">
        <v>78</v>
      </c>
      <c r="B80" s="10" t="str">
        <f t="shared" si="5"/>
        <v>105</v>
      </c>
      <c r="C80" s="10" t="s">
        <v>21</v>
      </c>
      <c r="D80" s="10" t="s">
        <v>22</v>
      </c>
      <c r="E80" s="10" t="str">
        <f>"王奕"</f>
        <v>王奕</v>
      </c>
      <c r="F80" s="10" t="str">
        <f>"女"</f>
        <v>女</v>
      </c>
      <c r="G80" s="10" t="str">
        <f>"23105010318"</f>
        <v>23105010318</v>
      </c>
      <c r="H80" s="12">
        <v>71.94</v>
      </c>
      <c r="I80" s="13" t="s">
        <v>13</v>
      </c>
      <c r="J80" s="3"/>
    </row>
    <row r="81" spans="1:10" ht="30.75" customHeight="1">
      <c r="A81" s="9">
        <v>79</v>
      </c>
      <c r="B81" s="10" t="str">
        <f t="shared" si="5"/>
        <v>105</v>
      </c>
      <c r="C81" s="10" t="s">
        <v>21</v>
      </c>
      <c r="D81" s="10" t="s">
        <v>22</v>
      </c>
      <c r="E81" s="10" t="str">
        <f>"包蓉"</f>
        <v>包蓉</v>
      </c>
      <c r="F81" s="10" t="str">
        <f>"女"</f>
        <v>女</v>
      </c>
      <c r="G81" s="10" t="str">
        <f>"23105010319"</f>
        <v>23105010319</v>
      </c>
      <c r="H81" s="11" t="s">
        <v>12</v>
      </c>
      <c r="I81" s="13" t="s">
        <v>13</v>
      </c>
      <c r="J81" s="3"/>
    </row>
    <row r="82" spans="1:10" ht="30.75" customHeight="1">
      <c r="A82" s="9">
        <v>80</v>
      </c>
      <c r="B82" s="10" t="str">
        <f t="shared" si="5"/>
        <v>105</v>
      </c>
      <c r="C82" s="10" t="s">
        <v>21</v>
      </c>
      <c r="D82" s="10" t="s">
        <v>22</v>
      </c>
      <c r="E82" s="10" t="str">
        <f>"杨月"</f>
        <v>杨月</v>
      </c>
      <c r="F82" s="10" t="str">
        <f>"女"</f>
        <v>女</v>
      </c>
      <c r="G82" s="10" t="str">
        <f>"23105010320"</f>
        <v>23105010320</v>
      </c>
      <c r="H82" s="11" t="s">
        <v>12</v>
      </c>
      <c r="I82" s="13" t="s">
        <v>13</v>
      </c>
      <c r="J82" s="3"/>
    </row>
    <row r="83" spans="1:10" ht="30.75" customHeight="1">
      <c r="A83" s="9">
        <v>81</v>
      </c>
      <c r="B83" s="10" t="str">
        <f t="shared" si="5"/>
        <v>105</v>
      </c>
      <c r="C83" s="10" t="s">
        <v>21</v>
      </c>
      <c r="D83" s="10" t="s">
        <v>22</v>
      </c>
      <c r="E83" s="10" t="str">
        <f>"毕升"</f>
        <v>毕升</v>
      </c>
      <c r="F83" s="10" t="str">
        <f>"男"</f>
        <v>男</v>
      </c>
      <c r="G83" s="10" t="str">
        <f>"23105010321"</f>
        <v>23105010321</v>
      </c>
      <c r="H83" s="12">
        <v>77.56</v>
      </c>
      <c r="I83" s="13" t="s">
        <v>13</v>
      </c>
      <c r="J83" s="3"/>
    </row>
    <row r="84" spans="1:10" ht="30.75" customHeight="1">
      <c r="A84" s="9">
        <v>82</v>
      </c>
      <c r="B84" s="10" t="str">
        <f t="shared" si="5"/>
        <v>105</v>
      </c>
      <c r="C84" s="10" t="s">
        <v>21</v>
      </c>
      <c r="D84" s="10" t="s">
        <v>22</v>
      </c>
      <c r="E84" s="10" t="str">
        <f>"伊腾处"</f>
        <v>伊腾处</v>
      </c>
      <c r="F84" s="10" t="str">
        <f>"男"</f>
        <v>男</v>
      </c>
      <c r="G84" s="10" t="str">
        <f>"23105010322"</f>
        <v>23105010322</v>
      </c>
      <c r="H84" s="12">
        <v>78.2</v>
      </c>
      <c r="I84" s="13" t="s">
        <v>13</v>
      </c>
      <c r="J84" s="3"/>
    </row>
    <row r="85" spans="1:10" ht="30.75" customHeight="1">
      <c r="A85" s="9">
        <v>83</v>
      </c>
      <c r="B85" s="10" t="str">
        <f t="shared" si="5"/>
        <v>105</v>
      </c>
      <c r="C85" s="10" t="s">
        <v>21</v>
      </c>
      <c r="D85" s="10" t="s">
        <v>22</v>
      </c>
      <c r="E85" s="10" t="str">
        <f>"娄宏宇"</f>
        <v>娄宏宇</v>
      </c>
      <c r="F85" s="10" t="str">
        <f>"男"</f>
        <v>男</v>
      </c>
      <c r="G85" s="10" t="str">
        <f>"23105010323"</f>
        <v>23105010323</v>
      </c>
      <c r="H85" s="12">
        <v>76.56</v>
      </c>
      <c r="I85" s="13" t="s">
        <v>13</v>
      </c>
      <c r="J85" s="3"/>
    </row>
    <row r="86" spans="1:10" ht="30.75" customHeight="1">
      <c r="A86" s="9">
        <v>84</v>
      </c>
      <c r="B86" s="10" t="str">
        <f t="shared" si="5"/>
        <v>105</v>
      </c>
      <c r="C86" s="10" t="s">
        <v>21</v>
      </c>
      <c r="D86" s="10" t="s">
        <v>22</v>
      </c>
      <c r="E86" s="10" t="str">
        <f>"谢晋"</f>
        <v>谢晋</v>
      </c>
      <c r="F86" s="10" t="str">
        <f aca="true" t="shared" si="6" ref="F86:F91">"女"</f>
        <v>女</v>
      </c>
      <c r="G86" s="10" t="str">
        <f>"23105010324"</f>
        <v>23105010324</v>
      </c>
      <c r="H86" s="12">
        <v>80.5</v>
      </c>
      <c r="I86" s="12" t="s">
        <v>15</v>
      </c>
      <c r="J86" s="3"/>
    </row>
    <row r="87" spans="1:10" ht="30.75" customHeight="1">
      <c r="A87" s="9">
        <v>85</v>
      </c>
      <c r="B87" s="10" t="str">
        <f t="shared" si="5"/>
        <v>105</v>
      </c>
      <c r="C87" s="10" t="s">
        <v>21</v>
      </c>
      <c r="D87" s="10" t="s">
        <v>22</v>
      </c>
      <c r="E87" s="10" t="str">
        <f>"白嘉琪"</f>
        <v>白嘉琪</v>
      </c>
      <c r="F87" s="10" t="str">
        <f t="shared" si="6"/>
        <v>女</v>
      </c>
      <c r="G87" s="10" t="str">
        <f>"23105010325"</f>
        <v>23105010325</v>
      </c>
      <c r="H87" s="12">
        <v>79.26</v>
      </c>
      <c r="I87" s="13" t="s">
        <v>13</v>
      </c>
      <c r="J87" s="3"/>
    </row>
    <row r="88" spans="1:10" ht="30.75" customHeight="1">
      <c r="A88" s="9">
        <v>86</v>
      </c>
      <c r="B88" s="10" t="str">
        <f t="shared" si="5"/>
        <v>105</v>
      </c>
      <c r="C88" s="10" t="s">
        <v>21</v>
      </c>
      <c r="D88" s="10" t="s">
        <v>22</v>
      </c>
      <c r="E88" s="10" t="str">
        <f>"阿斯布日"</f>
        <v>阿斯布日</v>
      </c>
      <c r="F88" s="10" t="str">
        <f t="shared" si="6"/>
        <v>女</v>
      </c>
      <c r="G88" s="10" t="str">
        <f>"23105010326"</f>
        <v>23105010326</v>
      </c>
      <c r="H88" s="11" t="s">
        <v>12</v>
      </c>
      <c r="I88" s="13" t="s">
        <v>13</v>
      </c>
      <c r="J88" s="3"/>
    </row>
    <row r="89" spans="1:10" ht="30.75" customHeight="1">
      <c r="A89" s="9">
        <v>87</v>
      </c>
      <c r="B89" s="10" t="str">
        <f t="shared" si="5"/>
        <v>105</v>
      </c>
      <c r="C89" s="10" t="s">
        <v>21</v>
      </c>
      <c r="D89" s="10" t="s">
        <v>22</v>
      </c>
      <c r="E89" s="10" t="str">
        <f>"孙雪"</f>
        <v>孙雪</v>
      </c>
      <c r="F89" s="10" t="str">
        <f t="shared" si="6"/>
        <v>女</v>
      </c>
      <c r="G89" s="10" t="str">
        <f>"23105010327"</f>
        <v>23105010327</v>
      </c>
      <c r="H89" s="11" t="s">
        <v>12</v>
      </c>
      <c r="I89" s="13" t="s">
        <v>13</v>
      </c>
      <c r="J89" s="3"/>
    </row>
    <row r="90" spans="1:10" ht="30.75" customHeight="1">
      <c r="A90" s="9">
        <v>88</v>
      </c>
      <c r="B90" s="10" t="str">
        <f t="shared" si="5"/>
        <v>105</v>
      </c>
      <c r="C90" s="10" t="s">
        <v>21</v>
      </c>
      <c r="D90" s="10" t="s">
        <v>22</v>
      </c>
      <c r="E90" s="10" t="str">
        <f>"计雨岑"</f>
        <v>计雨岑</v>
      </c>
      <c r="F90" s="10" t="str">
        <f t="shared" si="6"/>
        <v>女</v>
      </c>
      <c r="G90" s="10" t="str">
        <f>"23105010328"</f>
        <v>23105010328</v>
      </c>
      <c r="H90" s="12">
        <v>73.92</v>
      </c>
      <c r="I90" s="13" t="s">
        <v>13</v>
      </c>
      <c r="J90" s="3"/>
    </row>
    <row r="91" spans="1:10" ht="30.75" customHeight="1">
      <c r="A91" s="9">
        <v>89</v>
      </c>
      <c r="B91" s="10" t="str">
        <f aca="true" t="shared" si="7" ref="B91:B107">"106"</f>
        <v>106</v>
      </c>
      <c r="C91" s="10" t="s">
        <v>21</v>
      </c>
      <c r="D91" s="10" t="s">
        <v>23</v>
      </c>
      <c r="E91" s="10" t="str">
        <f>"刘静"</f>
        <v>刘静</v>
      </c>
      <c r="F91" s="10" t="str">
        <f t="shared" si="6"/>
        <v>女</v>
      </c>
      <c r="G91" s="10" t="str">
        <f>"23106010329"</f>
        <v>23106010329</v>
      </c>
      <c r="H91" s="11" t="s">
        <v>12</v>
      </c>
      <c r="I91" s="13" t="s">
        <v>13</v>
      </c>
      <c r="J91" s="3"/>
    </row>
    <row r="92" spans="1:10" ht="30.75" customHeight="1">
      <c r="A92" s="9">
        <v>90</v>
      </c>
      <c r="B92" s="10" t="str">
        <f t="shared" si="7"/>
        <v>106</v>
      </c>
      <c r="C92" s="10" t="s">
        <v>21</v>
      </c>
      <c r="D92" s="10" t="s">
        <v>23</v>
      </c>
      <c r="E92" s="10" t="str">
        <f>"连勇清"</f>
        <v>连勇清</v>
      </c>
      <c r="F92" s="10" t="str">
        <f>"男"</f>
        <v>男</v>
      </c>
      <c r="G92" s="10" t="str">
        <f>"23106010330"</f>
        <v>23106010330</v>
      </c>
      <c r="H92" s="11" t="s">
        <v>12</v>
      </c>
      <c r="I92" s="13" t="s">
        <v>13</v>
      </c>
      <c r="J92" s="3"/>
    </row>
    <row r="93" spans="1:10" ht="30.75" customHeight="1">
      <c r="A93" s="9">
        <v>91</v>
      </c>
      <c r="B93" s="10" t="str">
        <f t="shared" si="7"/>
        <v>106</v>
      </c>
      <c r="C93" s="10" t="s">
        <v>21</v>
      </c>
      <c r="D93" s="10" t="s">
        <v>23</v>
      </c>
      <c r="E93" s="10" t="str">
        <f>"李渊"</f>
        <v>李渊</v>
      </c>
      <c r="F93" s="10" t="str">
        <f aca="true" t="shared" si="8" ref="F93:F103">"女"</f>
        <v>女</v>
      </c>
      <c r="G93" s="10" t="str">
        <f>"23106010331"</f>
        <v>23106010331</v>
      </c>
      <c r="H93" s="12">
        <v>77.58</v>
      </c>
      <c r="I93" s="12" t="s">
        <v>15</v>
      </c>
      <c r="J93" s="3"/>
    </row>
    <row r="94" spans="1:10" ht="30.75" customHeight="1">
      <c r="A94" s="9">
        <v>92</v>
      </c>
      <c r="B94" s="10" t="str">
        <f t="shared" si="7"/>
        <v>106</v>
      </c>
      <c r="C94" s="10" t="s">
        <v>21</v>
      </c>
      <c r="D94" s="10" t="s">
        <v>23</v>
      </c>
      <c r="E94" s="10" t="str">
        <f>"张思颖"</f>
        <v>张思颖</v>
      </c>
      <c r="F94" s="10" t="str">
        <f t="shared" si="8"/>
        <v>女</v>
      </c>
      <c r="G94" s="10" t="str">
        <f>"23106010332"</f>
        <v>23106010332</v>
      </c>
      <c r="H94" s="12">
        <v>74.04</v>
      </c>
      <c r="I94" s="13" t="s">
        <v>13</v>
      </c>
      <c r="J94" s="3"/>
    </row>
    <row r="95" spans="1:10" ht="30.75" customHeight="1">
      <c r="A95" s="9">
        <v>93</v>
      </c>
      <c r="B95" s="10" t="str">
        <f t="shared" si="7"/>
        <v>106</v>
      </c>
      <c r="C95" s="10" t="s">
        <v>21</v>
      </c>
      <c r="D95" s="10" t="s">
        <v>23</v>
      </c>
      <c r="E95" s="10" t="str">
        <f>"嘎力巴"</f>
        <v>嘎力巴</v>
      </c>
      <c r="F95" s="10" t="str">
        <f t="shared" si="8"/>
        <v>女</v>
      </c>
      <c r="G95" s="10" t="str">
        <f>"23106010333"</f>
        <v>23106010333</v>
      </c>
      <c r="H95" s="11" t="s">
        <v>12</v>
      </c>
      <c r="I95" s="13" t="s">
        <v>13</v>
      </c>
      <c r="J95" s="3"/>
    </row>
    <row r="96" spans="1:10" ht="30.75" customHeight="1">
      <c r="A96" s="9">
        <v>94</v>
      </c>
      <c r="B96" s="10" t="str">
        <f t="shared" si="7"/>
        <v>106</v>
      </c>
      <c r="C96" s="10" t="s">
        <v>21</v>
      </c>
      <c r="D96" s="10" t="s">
        <v>23</v>
      </c>
      <c r="E96" s="10" t="str">
        <f>"刘树芳"</f>
        <v>刘树芳</v>
      </c>
      <c r="F96" s="10" t="str">
        <f t="shared" si="8"/>
        <v>女</v>
      </c>
      <c r="G96" s="10" t="str">
        <f>"23106010334"</f>
        <v>23106010334</v>
      </c>
      <c r="H96" s="11" t="s">
        <v>12</v>
      </c>
      <c r="I96" s="13" t="s">
        <v>13</v>
      </c>
      <c r="J96" s="3"/>
    </row>
    <row r="97" spans="1:10" ht="30.75" customHeight="1">
      <c r="A97" s="9">
        <v>95</v>
      </c>
      <c r="B97" s="10" t="str">
        <f t="shared" si="7"/>
        <v>106</v>
      </c>
      <c r="C97" s="10" t="s">
        <v>21</v>
      </c>
      <c r="D97" s="10" t="s">
        <v>23</v>
      </c>
      <c r="E97" s="10" t="str">
        <f>"王萨丽"</f>
        <v>王萨丽</v>
      </c>
      <c r="F97" s="10" t="str">
        <f t="shared" si="8"/>
        <v>女</v>
      </c>
      <c r="G97" s="10" t="str">
        <f>"23106010335"</f>
        <v>23106010335</v>
      </c>
      <c r="H97" s="11" t="s">
        <v>12</v>
      </c>
      <c r="I97" s="13" t="s">
        <v>13</v>
      </c>
      <c r="J97" s="3"/>
    </row>
    <row r="98" spans="1:10" ht="30.75" customHeight="1">
      <c r="A98" s="9">
        <v>96</v>
      </c>
      <c r="B98" s="10" t="str">
        <f t="shared" si="7"/>
        <v>106</v>
      </c>
      <c r="C98" s="10" t="s">
        <v>21</v>
      </c>
      <c r="D98" s="10" t="s">
        <v>23</v>
      </c>
      <c r="E98" s="10" t="str">
        <f>"嘎毕拉"</f>
        <v>嘎毕拉</v>
      </c>
      <c r="F98" s="10" t="str">
        <f t="shared" si="8"/>
        <v>女</v>
      </c>
      <c r="G98" s="10" t="str">
        <f>"23106010336"</f>
        <v>23106010336</v>
      </c>
      <c r="H98" s="12">
        <v>73.82</v>
      </c>
      <c r="I98" s="13" t="s">
        <v>13</v>
      </c>
      <c r="J98" s="3"/>
    </row>
    <row r="99" spans="1:10" ht="30.75" customHeight="1">
      <c r="A99" s="9">
        <v>97</v>
      </c>
      <c r="B99" s="10" t="str">
        <f t="shared" si="7"/>
        <v>106</v>
      </c>
      <c r="C99" s="10" t="s">
        <v>21</v>
      </c>
      <c r="D99" s="10" t="s">
        <v>23</v>
      </c>
      <c r="E99" s="10" t="str">
        <f>"乔娇"</f>
        <v>乔娇</v>
      </c>
      <c r="F99" s="10" t="str">
        <f t="shared" si="8"/>
        <v>女</v>
      </c>
      <c r="G99" s="10" t="str">
        <f>"23106010337"</f>
        <v>23106010337</v>
      </c>
      <c r="H99" s="12">
        <v>71.58</v>
      </c>
      <c r="I99" s="13" t="s">
        <v>13</v>
      </c>
      <c r="J99" s="3"/>
    </row>
    <row r="100" spans="1:10" ht="30.75" customHeight="1">
      <c r="A100" s="9">
        <v>98</v>
      </c>
      <c r="B100" s="10" t="str">
        <f t="shared" si="7"/>
        <v>106</v>
      </c>
      <c r="C100" s="10" t="s">
        <v>21</v>
      </c>
      <c r="D100" s="10" t="s">
        <v>23</v>
      </c>
      <c r="E100" s="10" t="str">
        <f>"石小卉"</f>
        <v>石小卉</v>
      </c>
      <c r="F100" s="10" t="str">
        <f t="shared" si="8"/>
        <v>女</v>
      </c>
      <c r="G100" s="10" t="str">
        <f>"23106010338"</f>
        <v>23106010338</v>
      </c>
      <c r="H100" s="12">
        <v>76.84</v>
      </c>
      <c r="I100" s="13" t="s">
        <v>13</v>
      </c>
      <c r="J100" s="3"/>
    </row>
    <row r="101" spans="1:10" ht="30.75" customHeight="1">
      <c r="A101" s="9">
        <v>99</v>
      </c>
      <c r="B101" s="10" t="str">
        <f t="shared" si="7"/>
        <v>106</v>
      </c>
      <c r="C101" s="10" t="s">
        <v>21</v>
      </c>
      <c r="D101" s="10" t="s">
        <v>23</v>
      </c>
      <c r="E101" s="10" t="str">
        <f>"其乐亘"</f>
        <v>其乐亘</v>
      </c>
      <c r="F101" s="10" t="str">
        <f t="shared" si="8"/>
        <v>女</v>
      </c>
      <c r="G101" s="10" t="str">
        <f>"23106010339"</f>
        <v>23106010339</v>
      </c>
      <c r="H101" s="12">
        <v>73.7</v>
      </c>
      <c r="I101" s="13" t="s">
        <v>13</v>
      </c>
      <c r="J101" s="3"/>
    </row>
    <row r="102" spans="1:10" ht="30.75" customHeight="1">
      <c r="A102" s="9">
        <v>100</v>
      </c>
      <c r="B102" s="10" t="str">
        <f t="shared" si="7"/>
        <v>106</v>
      </c>
      <c r="C102" s="10" t="s">
        <v>21</v>
      </c>
      <c r="D102" s="10" t="s">
        <v>23</v>
      </c>
      <c r="E102" s="10" t="str">
        <f>"苏日古嘎"</f>
        <v>苏日古嘎</v>
      </c>
      <c r="F102" s="10" t="str">
        <f t="shared" si="8"/>
        <v>女</v>
      </c>
      <c r="G102" s="10" t="str">
        <f>"23106010340"</f>
        <v>23106010340</v>
      </c>
      <c r="H102" s="12">
        <v>74.56</v>
      </c>
      <c r="I102" s="13" t="s">
        <v>13</v>
      </c>
      <c r="J102" s="3"/>
    </row>
    <row r="103" spans="1:10" ht="30.75" customHeight="1">
      <c r="A103" s="9">
        <v>101</v>
      </c>
      <c r="B103" s="10" t="str">
        <f t="shared" si="7"/>
        <v>106</v>
      </c>
      <c r="C103" s="10" t="s">
        <v>21</v>
      </c>
      <c r="D103" s="10" t="s">
        <v>23</v>
      </c>
      <c r="E103" s="10" t="str">
        <f>"茜沁"</f>
        <v>茜沁</v>
      </c>
      <c r="F103" s="10" t="str">
        <f t="shared" si="8"/>
        <v>女</v>
      </c>
      <c r="G103" s="10" t="str">
        <f>"23106010341"</f>
        <v>23106010341</v>
      </c>
      <c r="H103" s="11" t="s">
        <v>12</v>
      </c>
      <c r="I103" s="13" t="s">
        <v>13</v>
      </c>
      <c r="J103" s="3"/>
    </row>
    <row r="104" spans="1:10" ht="30.75" customHeight="1">
      <c r="A104" s="9">
        <v>102</v>
      </c>
      <c r="B104" s="10" t="str">
        <f t="shared" si="7"/>
        <v>106</v>
      </c>
      <c r="C104" s="10" t="s">
        <v>21</v>
      </c>
      <c r="D104" s="10" t="s">
        <v>23</v>
      </c>
      <c r="E104" s="10" t="str">
        <f>"韩格日乐吐"</f>
        <v>韩格日乐吐</v>
      </c>
      <c r="F104" s="10" t="str">
        <f>"男"</f>
        <v>男</v>
      </c>
      <c r="G104" s="10" t="str">
        <f>"23106010342"</f>
        <v>23106010342</v>
      </c>
      <c r="H104" s="12">
        <v>69.3</v>
      </c>
      <c r="I104" s="13" t="s">
        <v>13</v>
      </c>
      <c r="J104" s="3"/>
    </row>
    <row r="105" spans="1:10" ht="30.75" customHeight="1">
      <c r="A105" s="9">
        <v>103</v>
      </c>
      <c r="B105" s="10" t="str">
        <f t="shared" si="7"/>
        <v>106</v>
      </c>
      <c r="C105" s="10" t="s">
        <v>21</v>
      </c>
      <c r="D105" s="10" t="s">
        <v>23</v>
      </c>
      <c r="E105" s="10" t="str">
        <f>"池婧媛"</f>
        <v>池婧媛</v>
      </c>
      <c r="F105" s="10" t="str">
        <f aca="true" t="shared" si="9" ref="F105:F110">"女"</f>
        <v>女</v>
      </c>
      <c r="G105" s="10" t="str">
        <f>"23106010343"</f>
        <v>23106010343</v>
      </c>
      <c r="H105" s="12">
        <v>74.26</v>
      </c>
      <c r="I105" s="13" t="s">
        <v>13</v>
      </c>
      <c r="J105" s="3"/>
    </row>
    <row r="106" spans="1:10" ht="30.75" customHeight="1">
      <c r="A106" s="9">
        <v>104</v>
      </c>
      <c r="B106" s="10" t="str">
        <f t="shared" si="7"/>
        <v>106</v>
      </c>
      <c r="C106" s="10" t="s">
        <v>21</v>
      </c>
      <c r="D106" s="10" t="s">
        <v>23</v>
      </c>
      <c r="E106" s="10" t="str">
        <f>"柴玄锐"</f>
        <v>柴玄锐</v>
      </c>
      <c r="F106" s="10" t="str">
        <f t="shared" si="9"/>
        <v>女</v>
      </c>
      <c r="G106" s="10" t="str">
        <f>"23106010344"</f>
        <v>23106010344</v>
      </c>
      <c r="H106" s="11" t="s">
        <v>12</v>
      </c>
      <c r="I106" s="13" t="s">
        <v>13</v>
      </c>
      <c r="J106" s="3"/>
    </row>
    <row r="107" spans="1:10" ht="30.75" customHeight="1">
      <c r="A107" s="9">
        <v>105</v>
      </c>
      <c r="B107" s="10" t="str">
        <f t="shared" si="7"/>
        <v>106</v>
      </c>
      <c r="C107" s="10" t="s">
        <v>21</v>
      </c>
      <c r="D107" s="10" t="s">
        <v>23</v>
      </c>
      <c r="E107" s="10" t="str">
        <f>"赛汉娜"</f>
        <v>赛汉娜</v>
      </c>
      <c r="F107" s="10" t="str">
        <f t="shared" si="9"/>
        <v>女</v>
      </c>
      <c r="G107" s="10" t="str">
        <f>"23106010345"</f>
        <v>23106010345</v>
      </c>
      <c r="H107" s="11" t="s">
        <v>12</v>
      </c>
      <c r="I107" s="13" t="s">
        <v>13</v>
      </c>
      <c r="J107" s="3"/>
    </row>
    <row r="108" spans="1:10" ht="30.75" customHeight="1">
      <c r="A108" s="9">
        <v>106</v>
      </c>
      <c r="B108" s="10" t="str">
        <f aca="true" t="shared" si="10" ref="B108:B171">"107"</f>
        <v>107</v>
      </c>
      <c r="C108" s="10" t="s">
        <v>24</v>
      </c>
      <c r="D108" s="10" t="s">
        <v>25</v>
      </c>
      <c r="E108" s="10" t="str">
        <f>"南迪娜"</f>
        <v>南迪娜</v>
      </c>
      <c r="F108" s="10" t="str">
        <f t="shared" si="9"/>
        <v>女</v>
      </c>
      <c r="G108" s="10" t="str">
        <f>"23107010101"</f>
        <v>23107010101</v>
      </c>
      <c r="H108" s="12">
        <v>78.66</v>
      </c>
      <c r="I108" s="13" t="s">
        <v>13</v>
      </c>
      <c r="J108" s="3"/>
    </row>
    <row r="109" spans="1:10" ht="30.75" customHeight="1">
      <c r="A109" s="9">
        <v>107</v>
      </c>
      <c r="B109" s="10" t="str">
        <f t="shared" si="10"/>
        <v>107</v>
      </c>
      <c r="C109" s="10" t="s">
        <v>24</v>
      </c>
      <c r="D109" s="10" t="s">
        <v>25</v>
      </c>
      <c r="E109" s="10" t="str">
        <f>"史加加"</f>
        <v>史加加</v>
      </c>
      <c r="F109" s="10" t="str">
        <f t="shared" si="9"/>
        <v>女</v>
      </c>
      <c r="G109" s="10" t="str">
        <f>"23107010102"</f>
        <v>23107010102</v>
      </c>
      <c r="H109" s="11" t="s">
        <v>12</v>
      </c>
      <c r="I109" s="13" t="s">
        <v>13</v>
      </c>
      <c r="J109" s="3"/>
    </row>
    <row r="110" spans="1:10" ht="30.75" customHeight="1">
      <c r="A110" s="9">
        <v>108</v>
      </c>
      <c r="B110" s="10" t="str">
        <f t="shared" si="10"/>
        <v>107</v>
      </c>
      <c r="C110" s="10" t="s">
        <v>24</v>
      </c>
      <c r="D110" s="10" t="s">
        <v>25</v>
      </c>
      <c r="E110" s="10" t="str">
        <f>"杨晓艳"</f>
        <v>杨晓艳</v>
      </c>
      <c r="F110" s="10" t="str">
        <f t="shared" si="9"/>
        <v>女</v>
      </c>
      <c r="G110" s="10" t="str">
        <f>"23107010103"</f>
        <v>23107010103</v>
      </c>
      <c r="H110" s="12">
        <v>70.36</v>
      </c>
      <c r="I110" s="13" t="s">
        <v>13</v>
      </c>
      <c r="J110" s="3"/>
    </row>
    <row r="111" spans="1:10" ht="30.75" customHeight="1">
      <c r="A111" s="9">
        <v>109</v>
      </c>
      <c r="B111" s="10" t="str">
        <f t="shared" si="10"/>
        <v>107</v>
      </c>
      <c r="C111" s="10" t="s">
        <v>24</v>
      </c>
      <c r="D111" s="10" t="s">
        <v>25</v>
      </c>
      <c r="E111" s="10" t="str">
        <f>"杨浩楠"</f>
        <v>杨浩楠</v>
      </c>
      <c r="F111" s="10" t="str">
        <f>"男"</f>
        <v>男</v>
      </c>
      <c r="G111" s="10" t="str">
        <f>"23107010104"</f>
        <v>23107010104</v>
      </c>
      <c r="H111" s="11" t="s">
        <v>12</v>
      </c>
      <c r="I111" s="13" t="s">
        <v>13</v>
      </c>
      <c r="J111" s="3"/>
    </row>
    <row r="112" spans="1:10" ht="30.75" customHeight="1">
      <c r="A112" s="9">
        <v>110</v>
      </c>
      <c r="B112" s="10" t="str">
        <f t="shared" si="10"/>
        <v>107</v>
      </c>
      <c r="C112" s="10" t="s">
        <v>24</v>
      </c>
      <c r="D112" s="10" t="s">
        <v>25</v>
      </c>
      <c r="E112" s="10" t="str">
        <f>"解靖宇"</f>
        <v>解靖宇</v>
      </c>
      <c r="F112" s="10" t="str">
        <f>"女"</f>
        <v>女</v>
      </c>
      <c r="G112" s="10" t="str">
        <f>"23107010105"</f>
        <v>23107010105</v>
      </c>
      <c r="H112" s="11" t="s">
        <v>12</v>
      </c>
      <c r="I112" s="13" t="s">
        <v>13</v>
      </c>
      <c r="J112" s="3"/>
    </row>
    <row r="113" spans="1:10" ht="30.75" customHeight="1">
      <c r="A113" s="9">
        <v>111</v>
      </c>
      <c r="B113" s="10" t="str">
        <f t="shared" si="10"/>
        <v>107</v>
      </c>
      <c r="C113" s="10" t="s">
        <v>24</v>
      </c>
      <c r="D113" s="10" t="s">
        <v>25</v>
      </c>
      <c r="E113" s="10" t="str">
        <f>"张雨虹"</f>
        <v>张雨虹</v>
      </c>
      <c r="F113" s="10" t="str">
        <f>"女"</f>
        <v>女</v>
      </c>
      <c r="G113" s="10" t="str">
        <f>"23107010106"</f>
        <v>23107010106</v>
      </c>
      <c r="H113" s="11" t="s">
        <v>12</v>
      </c>
      <c r="I113" s="13" t="s">
        <v>13</v>
      </c>
      <c r="J113" s="3"/>
    </row>
    <row r="114" spans="1:10" ht="30.75" customHeight="1">
      <c r="A114" s="9">
        <v>112</v>
      </c>
      <c r="B114" s="10" t="str">
        <f t="shared" si="10"/>
        <v>107</v>
      </c>
      <c r="C114" s="10" t="s">
        <v>24</v>
      </c>
      <c r="D114" s="10" t="s">
        <v>25</v>
      </c>
      <c r="E114" s="10" t="str">
        <f>"谷金梁"</f>
        <v>谷金梁</v>
      </c>
      <c r="F114" s="10" t="str">
        <f>"男"</f>
        <v>男</v>
      </c>
      <c r="G114" s="10" t="str">
        <f>"23107010107"</f>
        <v>23107010107</v>
      </c>
      <c r="H114" s="11" t="s">
        <v>12</v>
      </c>
      <c r="I114" s="13" t="s">
        <v>13</v>
      </c>
      <c r="J114" s="3"/>
    </row>
    <row r="115" spans="1:10" ht="30.75" customHeight="1">
      <c r="A115" s="9">
        <v>113</v>
      </c>
      <c r="B115" s="10" t="str">
        <f t="shared" si="10"/>
        <v>107</v>
      </c>
      <c r="C115" s="10" t="s">
        <v>24</v>
      </c>
      <c r="D115" s="10" t="s">
        <v>25</v>
      </c>
      <c r="E115" s="10" t="str">
        <f>"郭蛇"</f>
        <v>郭蛇</v>
      </c>
      <c r="F115" s="10" t="str">
        <f>"女"</f>
        <v>女</v>
      </c>
      <c r="G115" s="10" t="str">
        <f>"23107010108"</f>
        <v>23107010108</v>
      </c>
      <c r="H115" s="11" t="s">
        <v>12</v>
      </c>
      <c r="I115" s="13" t="s">
        <v>13</v>
      </c>
      <c r="J115" s="3"/>
    </row>
    <row r="116" spans="1:10" ht="30.75" customHeight="1">
      <c r="A116" s="9">
        <v>114</v>
      </c>
      <c r="B116" s="10" t="str">
        <f t="shared" si="10"/>
        <v>107</v>
      </c>
      <c r="C116" s="10" t="s">
        <v>24</v>
      </c>
      <c r="D116" s="10" t="s">
        <v>25</v>
      </c>
      <c r="E116" s="10" t="str">
        <f>"杨禄"</f>
        <v>杨禄</v>
      </c>
      <c r="F116" s="10" t="str">
        <f>"女"</f>
        <v>女</v>
      </c>
      <c r="G116" s="10" t="str">
        <f>"23107010109"</f>
        <v>23107010109</v>
      </c>
      <c r="H116" s="12">
        <v>74.96</v>
      </c>
      <c r="I116" s="13" t="s">
        <v>13</v>
      </c>
      <c r="J116" s="3"/>
    </row>
    <row r="117" spans="1:10" ht="30.75" customHeight="1">
      <c r="A117" s="9">
        <v>115</v>
      </c>
      <c r="B117" s="10" t="str">
        <f t="shared" si="10"/>
        <v>107</v>
      </c>
      <c r="C117" s="10" t="s">
        <v>24</v>
      </c>
      <c r="D117" s="10" t="s">
        <v>25</v>
      </c>
      <c r="E117" s="10" t="str">
        <f>"高丽娥"</f>
        <v>高丽娥</v>
      </c>
      <c r="F117" s="10" t="str">
        <f>"女"</f>
        <v>女</v>
      </c>
      <c r="G117" s="10" t="str">
        <f>"23107010110"</f>
        <v>23107010110</v>
      </c>
      <c r="H117" s="11" t="s">
        <v>12</v>
      </c>
      <c r="I117" s="13" t="s">
        <v>13</v>
      </c>
      <c r="J117" s="3"/>
    </row>
    <row r="118" spans="1:10" ht="30.75" customHeight="1">
      <c r="A118" s="9">
        <v>116</v>
      </c>
      <c r="B118" s="10" t="str">
        <f t="shared" si="10"/>
        <v>107</v>
      </c>
      <c r="C118" s="10" t="s">
        <v>24</v>
      </c>
      <c r="D118" s="10" t="s">
        <v>25</v>
      </c>
      <c r="E118" s="10" t="str">
        <f>"张宇森"</f>
        <v>张宇森</v>
      </c>
      <c r="F118" s="10" t="str">
        <f>"男"</f>
        <v>男</v>
      </c>
      <c r="G118" s="10" t="str">
        <f>"23107010111"</f>
        <v>23107010111</v>
      </c>
      <c r="H118" s="11" t="s">
        <v>12</v>
      </c>
      <c r="I118" s="13" t="s">
        <v>13</v>
      </c>
      <c r="J118" s="3"/>
    </row>
    <row r="119" spans="1:10" ht="30.75" customHeight="1">
      <c r="A119" s="9">
        <v>117</v>
      </c>
      <c r="B119" s="10" t="str">
        <f t="shared" si="10"/>
        <v>107</v>
      </c>
      <c r="C119" s="10" t="s">
        <v>24</v>
      </c>
      <c r="D119" s="10" t="s">
        <v>25</v>
      </c>
      <c r="E119" s="10" t="str">
        <f>"李慧姣"</f>
        <v>李慧姣</v>
      </c>
      <c r="F119" s="10" t="str">
        <f>"女"</f>
        <v>女</v>
      </c>
      <c r="G119" s="10" t="str">
        <f>"23107010112"</f>
        <v>23107010112</v>
      </c>
      <c r="H119" s="12">
        <v>83.6</v>
      </c>
      <c r="I119" s="12" t="s">
        <v>15</v>
      </c>
      <c r="J119" s="3"/>
    </row>
    <row r="120" spans="1:10" ht="30.75" customHeight="1">
      <c r="A120" s="9">
        <v>118</v>
      </c>
      <c r="B120" s="10" t="str">
        <f t="shared" si="10"/>
        <v>107</v>
      </c>
      <c r="C120" s="10" t="s">
        <v>24</v>
      </c>
      <c r="D120" s="10" t="s">
        <v>25</v>
      </c>
      <c r="E120" s="10" t="str">
        <f>"王希凤"</f>
        <v>王希凤</v>
      </c>
      <c r="F120" s="10" t="str">
        <f>"女"</f>
        <v>女</v>
      </c>
      <c r="G120" s="10" t="str">
        <f>"23107010113"</f>
        <v>23107010113</v>
      </c>
      <c r="H120" s="12">
        <v>75.1</v>
      </c>
      <c r="I120" s="13" t="s">
        <v>13</v>
      </c>
      <c r="J120" s="3"/>
    </row>
    <row r="121" spans="1:10" ht="30.75" customHeight="1">
      <c r="A121" s="9">
        <v>119</v>
      </c>
      <c r="B121" s="10" t="str">
        <f t="shared" si="10"/>
        <v>107</v>
      </c>
      <c r="C121" s="10" t="s">
        <v>24</v>
      </c>
      <c r="D121" s="10" t="s">
        <v>25</v>
      </c>
      <c r="E121" s="10" t="str">
        <f>"张丽"</f>
        <v>张丽</v>
      </c>
      <c r="F121" s="10" t="str">
        <f>"女"</f>
        <v>女</v>
      </c>
      <c r="G121" s="10" t="str">
        <f>"23107010114"</f>
        <v>23107010114</v>
      </c>
      <c r="H121" s="11" t="s">
        <v>12</v>
      </c>
      <c r="I121" s="13" t="s">
        <v>13</v>
      </c>
      <c r="J121" s="3"/>
    </row>
    <row r="122" spans="1:10" ht="30.75" customHeight="1">
      <c r="A122" s="9">
        <v>120</v>
      </c>
      <c r="B122" s="10" t="str">
        <f t="shared" si="10"/>
        <v>107</v>
      </c>
      <c r="C122" s="10" t="s">
        <v>24</v>
      </c>
      <c r="D122" s="10" t="s">
        <v>25</v>
      </c>
      <c r="E122" s="10" t="str">
        <f>"李纳"</f>
        <v>李纳</v>
      </c>
      <c r="F122" s="10" t="str">
        <f>"女"</f>
        <v>女</v>
      </c>
      <c r="G122" s="10" t="str">
        <f>"23107010115"</f>
        <v>23107010115</v>
      </c>
      <c r="H122" s="12">
        <v>73.34</v>
      </c>
      <c r="I122" s="13" t="s">
        <v>13</v>
      </c>
      <c r="J122" s="3"/>
    </row>
    <row r="123" spans="1:10" ht="30.75" customHeight="1">
      <c r="A123" s="9">
        <v>121</v>
      </c>
      <c r="B123" s="10" t="str">
        <f t="shared" si="10"/>
        <v>107</v>
      </c>
      <c r="C123" s="10" t="s">
        <v>24</v>
      </c>
      <c r="D123" s="10" t="s">
        <v>25</v>
      </c>
      <c r="E123" s="10" t="str">
        <f>"杨正奇"</f>
        <v>杨正奇</v>
      </c>
      <c r="F123" s="10" t="str">
        <f>"男"</f>
        <v>男</v>
      </c>
      <c r="G123" s="10" t="str">
        <f>"23107010116"</f>
        <v>23107010116</v>
      </c>
      <c r="H123" s="12">
        <v>77.24</v>
      </c>
      <c r="I123" s="13" t="s">
        <v>13</v>
      </c>
      <c r="J123" s="3"/>
    </row>
    <row r="124" spans="1:10" ht="30.75" customHeight="1">
      <c r="A124" s="9">
        <v>122</v>
      </c>
      <c r="B124" s="10" t="str">
        <f t="shared" si="10"/>
        <v>107</v>
      </c>
      <c r="C124" s="10" t="s">
        <v>24</v>
      </c>
      <c r="D124" s="10" t="s">
        <v>25</v>
      </c>
      <c r="E124" s="10" t="str">
        <f>"刘怡婷"</f>
        <v>刘怡婷</v>
      </c>
      <c r="F124" s="10" t="str">
        <f>"女"</f>
        <v>女</v>
      </c>
      <c r="G124" s="10" t="str">
        <f>"23107010117"</f>
        <v>23107010117</v>
      </c>
      <c r="H124" s="11" t="s">
        <v>12</v>
      </c>
      <c r="I124" s="13" t="s">
        <v>13</v>
      </c>
      <c r="J124" s="3"/>
    </row>
    <row r="125" spans="1:10" ht="30.75" customHeight="1">
      <c r="A125" s="9">
        <v>123</v>
      </c>
      <c r="B125" s="10" t="str">
        <f t="shared" si="10"/>
        <v>107</v>
      </c>
      <c r="C125" s="10" t="s">
        <v>24</v>
      </c>
      <c r="D125" s="10" t="s">
        <v>25</v>
      </c>
      <c r="E125" s="10" t="str">
        <f>"赵鑫"</f>
        <v>赵鑫</v>
      </c>
      <c r="F125" s="10" t="str">
        <f>"女"</f>
        <v>女</v>
      </c>
      <c r="G125" s="10" t="str">
        <f>"23107010118"</f>
        <v>23107010118</v>
      </c>
      <c r="H125" s="11" t="s">
        <v>12</v>
      </c>
      <c r="I125" s="13" t="s">
        <v>13</v>
      </c>
      <c r="J125" s="3"/>
    </row>
    <row r="126" spans="1:10" ht="30.75" customHeight="1">
      <c r="A126" s="9">
        <v>124</v>
      </c>
      <c r="B126" s="10" t="str">
        <f t="shared" si="10"/>
        <v>107</v>
      </c>
      <c r="C126" s="10" t="s">
        <v>24</v>
      </c>
      <c r="D126" s="10" t="s">
        <v>25</v>
      </c>
      <c r="E126" s="10" t="str">
        <f>"善俊"</f>
        <v>善俊</v>
      </c>
      <c r="F126" s="10" t="str">
        <f>"女"</f>
        <v>女</v>
      </c>
      <c r="G126" s="10" t="str">
        <f>"23107010119"</f>
        <v>23107010119</v>
      </c>
      <c r="H126" s="11" t="s">
        <v>12</v>
      </c>
      <c r="I126" s="13" t="s">
        <v>13</v>
      </c>
      <c r="J126" s="3"/>
    </row>
    <row r="127" spans="1:10" ht="30.75" customHeight="1">
      <c r="A127" s="9">
        <v>125</v>
      </c>
      <c r="B127" s="10" t="str">
        <f t="shared" si="10"/>
        <v>107</v>
      </c>
      <c r="C127" s="10" t="s">
        <v>24</v>
      </c>
      <c r="D127" s="10" t="s">
        <v>25</v>
      </c>
      <c r="E127" s="10" t="str">
        <f>"王泽栋"</f>
        <v>王泽栋</v>
      </c>
      <c r="F127" s="10" t="str">
        <f>"男"</f>
        <v>男</v>
      </c>
      <c r="G127" s="10" t="str">
        <f>"23107010120"</f>
        <v>23107010120</v>
      </c>
      <c r="H127" s="12">
        <v>69.26</v>
      </c>
      <c r="I127" s="13" t="s">
        <v>13</v>
      </c>
      <c r="J127" s="3"/>
    </row>
    <row r="128" spans="1:10" ht="30.75" customHeight="1">
      <c r="A128" s="9">
        <v>126</v>
      </c>
      <c r="B128" s="10" t="str">
        <f t="shared" si="10"/>
        <v>107</v>
      </c>
      <c r="C128" s="10" t="s">
        <v>24</v>
      </c>
      <c r="D128" s="10" t="s">
        <v>25</v>
      </c>
      <c r="E128" s="10" t="str">
        <f>"秦晓飞"</f>
        <v>秦晓飞</v>
      </c>
      <c r="F128" s="10" t="str">
        <f>"女"</f>
        <v>女</v>
      </c>
      <c r="G128" s="10" t="str">
        <f>"23107010121"</f>
        <v>23107010121</v>
      </c>
      <c r="H128" s="11" t="s">
        <v>12</v>
      </c>
      <c r="I128" s="13" t="s">
        <v>13</v>
      </c>
      <c r="J128" s="3"/>
    </row>
    <row r="129" spans="1:10" ht="30.75" customHeight="1">
      <c r="A129" s="9">
        <v>127</v>
      </c>
      <c r="B129" s="10" t="str">
        <f t="shared" si="10"/>
        <v>107</v>
      </c>
      <c r="C129" s="10" t="s">
        <v>24</v>
      </c>
      <c r="D129" s="10" t="s">
        <v>25</v>
      </c>
      <c r="E129" s="10" t="str">
        <f>"卢俊艳"</f>
        <v>卢俊艳</v>
      </c>
      <c r="F129" s="10" t="str">
        <f>"女"</f>
        <v>女</v>
      </c>
      <c r="G129" s="10" t="str">
        <f>"23107010122"</f>
        <v>23107010122</v>
      </c>
      <c r="H129" s="12">
        <v>74.66</v>
      </c>
      <c r="I129" s="13" t="s">
        <v>13</v>
      </c>
      <c r="J129" s="3"/>
    </row>
    <row r="130" spans="1:10" ht="30.75" customHeight="1">
      <c r="A130" s="9">
        <v>128</v>
      </c>
      <c r="B130" s="10" t="str">
        <f t="shared" si="10"/>
        <v>107</v>
      </c>
      <c r="C130" s="10" t="s">
        <v>24</v>
      </c>
      <c r="D130" s="10" t="s">
        <v>25</v>
      </c>
      <c r="E130" s="10" t="str">
        <f>"许家齐"</f>
        <v>许家齐</v>
      </c>
      <c r="F130" s="10" t="str">
        <f>"男"</f>
        <v>男</v>
      </c>
      <c r="G130" s="10" t="str">
        <f>"23107010123"</f>
        <v>23107010123</v>
      </c>
      <c r="H130" s="11" t="s">
        <v>12</v>
      </c>
      <c r="I130" s="13" t="s">
        <v>13</v>
      </c>
      <c r="J130" s="3"/>
    </row>
    <row r="131" spans="1:10" ht="30.75" customHeight="1">
      <c r="A131" s="9">
        <v>129</v>
      </c>
      <c r="B131" s="10" t="str">
        <f t="shared" si="10"/>
        <v>107</v>
      </c>
      <c r="C131" s="10" t="s">
        <v>24</v>
      </c>
      <c r="D131" s="10" t="s">
        <v>25</v>
      </c>
      <c r="E131" s="10" t="str">
        <f>"孙慧敏"</f>
        <v>孙慧敏</v>
      </c>
      <c r="F131" s="10" t="str">
        <f>"女"</f>
        <v>女</v>
      </c>
      <c r="G131" s="10" t="str">
        <f>"23107010124"</f>
        <v>23107010124</v>
      </c>
      <c r="H131" s="11" t="s">
        <v>12</v>
      </c>
      <c r="I131" s="13" t="s">
        <v>13</v>
      </c>
      <c r="J131" s="3"/>
    </row>
    <row r="132" spans="1:10" ht="30.75" customHeight="1">
      <c r="A132" s="9">
        <v>130</v>
      </c>
      <c r="B132" s="10" t="str">
        <f t="shared" si="10"/>
        <v>107</v>
      </c>
      <c r="C132" s="10" t="s">
        <v>24</v>
      </c>
      <c r="D132" s="10" t="s">
        <v>25</v>
      </c>
      <c r="E132" s="10" t="str">
        <f>"刘俐"</f>
        <v>刘俐</v>
      </c>
      <c r="F132" s="10" t="str">
        <f>"女"</f>
        <v>女</v>
      </c>
      <c r="G132" s="10" t="str">
        <f>"23107010125"</f>
        <v>23107010125</v>
      </c>
      <c r="H132" s="11" t="s">
        <v>12</v>
      </c>
      <c r="I132" s="13" t="s">
        <v>13</v>
      </c>
      <c r="J132" s="3"/>
    </row>
    <row r="133" spans="1:10" ht="30.75" customHeight="1">
      <c r="A133" s="9">
        <v>131</v>
      </c>
      <c r="B133" s="10" t="str">
        <f t="shared" si="10"/>
        <v>107</v>
      </c>
      <c r="C133" s="10" t="s">
        <v>24</v>
      </c>
      <c r="D133" s="10" t="s">
        <v>25</v>
      </c>
      <c r="E133" s="10" t="str">
        <f>"杨惠婷"</f>
        <v>杨惠婷</v>
      </c>
      <c r="F133" s="10" t="str">
        <f>"女"</f>
        <v>女</v>
      </c>
      <c r="G133" s="10" t="str">
        <f>"23107010126"</f>
        <v>23107010126</v>
      </c>
      <c r="H133" s="12">
        <v>73.1</v>
      </c>
      <c r="I133" s="13" t="s">
        <v>13</v>
      </c>
      <c r="J133" s="3"/>
    </row>
    <row r="134" spans="1:10" ht="30.75" customHeight="1">
      <c r="A134" s="9">
        <v>132</v>
      </c>
      <c r="B134" s="10" t="str">
        <f t="shared" si="10"/>
        <v>107</v>
      </c>
      <c r="C134" s="10" t="s">
        <v>24</v>
      </c>
      <c r="D134" s="10" t="s">
        <v>25</v>
      </c>
      <c r="E134" s="10" t="str">
        <f>"张永霞"</f>
        <v>张永霞</v>
      </c>
      <c r="F134" s="10" t="str">
        <f>"女"</f>
        <v>女</v>
      </c>
      <c r="G134" s="10" t="str">
        <f>"23107010127"</f>
        <v>23107010127</v>
      </c>
      <c r="H134" s="11" t="s">
        <v>12</v>
      </c>
      <c r="I134" s="13" t="s">
        <v>13</v>
      </c>
      <c r="J134" s="3"/>
    </row>
    <row r="135" spans="1:10" ht="30.75" customHeight="1">
      <c r="A135" s="9">
        <v>133</v>
      </c>
      <c r="B135" s="10" t="str">
        <f t="shared" si="10"/>
        <v>107</v>
      </c>
      <c r="C135" s="10" t="s">
        <v>24</v>
      </c>
      <c r="D135" s="10" t="s">
        <v>25</v>
      </c>
      <c r="E135" s="10" t="str">
        <f>"李原硕"</f>
        <v>李原硕</v>
      </c>
      <c r="F135" s="10" t="str">
        <f>"男"</f>
        <v>男</v>
      </c>
      <c r="G135" s="10" t="str">
        <f>"23107010128"</f>
        <v>23107010128</v>
      </c>
      <c r="H135" s="12">
        <v>79.1</v>
      </c>
      <c r="I135" s="13" t="s">
        <v>13</v>
      </c>
      <c r="J135" s="3"/>
    </row>
    <row r="136" spans="1:10" ht="30.75" customHeight="1">
      <c r="A136" s="9">
        <v>134</v>
      </c>
      <c r="B136" s="10" t="str">
        <f t="shared" si="10"/>
        <v>107</v>
      </c>
      <c r="C136" s="10" t="s">
        <v>24</v>
      </c>
      <c r="D136" s="10" t="s">
        <v>25</v>
      </c>
      <c r="E136" s="10" t="str">
        <f>"杨舟"</f>
        <v>杨舟</v>
      </c>
      <c r="F136" s="10" t="str">
        <f>"女"</f>
        <v>女</v>
      </c>
      <c r="G136" s="10" t="str">
        <f>"23107010129"</f>
        <v>23107010129</v>
      </c>
      <c r="H136" s="11" t="s">
        <v>12</v>
      </c>
      <c r="I136" s="13" t="s">
        <v>13</v>
      </c>
      <c r="J136" s="3"/>
    </row>
    <row r="137" spans="1:10" ht="30.75" customHeight="1">
      <c r="A137" s="9">
        <v>135</v>
      </c>
      <c r="B137" s="10" t="str">
        <f t="shared" si="10"/>
        <v>107</v>
      </c>
      <c r="C137" s="10" t="s">
        <v>24</v>
      </c>
      <c r="D137" s="10" t="s">
        <v>25</v>
      </c>
      <c r="E137" s="10" t="str">
        <f>"马宇轩"</f>
        <v>马宇轩</v>
      </c>
      <c r="F137" s="10" t="str">
        <f>"女"</f>
        <v>女</v>
      </c>
      <c r="G137" s="10" t="str">
        <f>"23107010130"</f>
        <v>23107010130</v>
      </c>
      <c r="H137" s="11" t="s">
        <v>12</v>
      </c>
      <c r="I137" s="13" t="s">
        <v>13</v>
      </c>
      <c r="J137" s="3"/>
    </row>
    <row r="138" spans="1:10" ht="30.75" customHeight="1">
      <c r="A138" s="9">
        <v>136</v>
      </c>
      <c r="B138" s="10" t="str">
        <f t="shared" si="10"/>
        <v>107</v>
      </c>
      <c r="C138" s="10" t="s">
        <v>24</v>
      </c>
      <c r="D138" s="10" t="s">
        <v>25</v>
      </c>
      <c r="E138" s="10" t="str">
        <f>"张玉蓉"</f>
        <v>张玉蓉</v>
      </c>
      <c r="F138" s="10" t="str">
        <f>"女"</f>
        <v>女</v>
      </c>
      <c r="G138" s="10" t="str">
        <f>"23107010131"</f>
        <v>23107010131</v>
      </c>
      <c r="H138" s="12">
        <v>81.42</v>
      </c>
      <c r="I138" s="12" t="s">
        <v>15</v>
      </c>
      <c r="J138" s="3"/>
    </row>
    <row r="139" spans="1:10" ht="30.75" customHeight="1">
      <c r="A139" s="9">
        <v>137</v>
      </c>
      <c r="B139" s="10" t="str">
        <f t="shared" si="10"/>
        <v>107</v>
      </c>
      <c r="C139" s="10" t="s">
        <v>24</v>
      </c>
      <c r="D139" s="10" t="s">
        <v>25</v>
      </c>
      <c r="E139" s="10" t="str">
        <f>"郭洪伟"</f>
        <v>郭洪伟</v>
      </c>
      <c r="F139" s="10" t="str">
        <f>"女"</f>
        <v>女</v>
      </c>
      <c r="G139" s="10" t="str">
        <f>"23107010132"</f>
        <v>23107010132</v>
      </c>
      <c r="H139" s="11" t="s">
        <v>12</v>
      </c>
      <c r="I139" s="13" t="s">
        <v>13</v>
      </c>
      <c r="J139" s="3"/>
    </row>
    <row r="140" spans="1:10" ht="30.75" customHeight="1">
      <c r="A140" s="9">
        <v>138</v>
      </c>
      <c r="B140" s="10" t="str">
        <f t="shared" si="10"/>
        <v>107</v>
      </c>
      <c r="C140" s="10" t="s">
        <v>24</v>
      </c>
      <c r="D140" s="10" t="s">
        <v>25</v>
      </c>
      <c r="E140" s="10" t="str">
        <f>"张嘉開"</f>
        <v>张嘉開</v>
      </c>
      <c r="F140" s="10" t="str">
        <f>"男"</f>
        <v>男</v>
      </c>
      <c r="G140" s="10" t="str">
        <f>"23107010133"</f>
        <v>23107010133</v>
      </c>
      <c r="H140" s="11" t="s">
        <v>12</v>
      </c>
      <c r="I140" s="13" t="s">
        <v>13</v>
      </c>
      <c r="J140" s="3"/>
    </row>
    <row r="141" spans="1:10" ht="30.75" customHeight="1">
      <c r="A141" s="9">
        <v>139</v>
      </c>
      <c r="B141" s="10" t="str">
        <f t="shared" si="10"/>
        <v>107</v>
      </c>
      <c r="C141" s="10" t="s">
        <v>24</v>
      </c>
      <c r="D141" s="10" t="s">
        <v>25</v>
      </c>
      <c r="E141" s="10" t="str">
        <f>"田鹏飞"</f>
        <v>田鹏飞</v>
      </c>
      <c r="F141" s="10" t="str">
        <f>"男"</f>
        <v>男</v>
      </c>
      <c r="G141" s="10" t="str">
        <f>"23107010134"</f>
        <v>23107010134</v>
      </c>
      <c r="H141" s="11" t="s">
        <v>12</v>
      </c>
      <c r="I141" s="13" t="s">
        <v>13</v>
      </c>
      <c r="J141" s="3"/>
    </row>
    <row r="142" spans="1:10" ht="30.75" customHeight="1">
      <c r="A142" s="9">
        <v>140</v>
      </c>
      <c r="B142" s="10" t="str">
        <f t="shared" si="10"/>
        <v>107</v>
      </c>
      <c r="C142" s="10" t="s">
        <v>24</v>
      </c>
      <c r="D142" s="10" t="s">
        <v>25</v>
      </c>
      <c r="E142" s="10" t="str">
        <f>"刘浩"</f>
        <v>刘浩</v>
      </c>
      <c r="F142" s="10" t="str">
        <f>"男"</f>
        <v>男</v>
      </c>
      <c r="G142" s="10" t="str">
        <f>"23107010135"</f>
        <v>23107010135</v>
      </c>
      <c r="H142" s="12">
        <v>75.94</v>
      </c>
      <c r="I142" s="13" t="s">
        <v>13</v>
      </c>
      <c r="J142" s="3"/>
    </row>
    <row r="143" spans="1:10" ht="30.75" customHeight="1">
      <c r="A143" s="9">
        <v>141</v>
      </c>
      <c r="B143" s="10" t="str">
        <f t="shared" si="10"/>
        <v>107</v>
      </c>
      <c r="C143" s="10" t="s">
        <v>24</v>
      </c>
      <c r="D143" s="10" t="s">
        <v>25</v>
      </c>
      <c r="E143" s="10" t="str">
        <f>"杨惠茹"</f>
        <v>杨惠茹</v>
      </c>
      <c r="F143" s="10" t="str">
        <f>"女"</f>
        <v>女</v>
      </c>
      <c r="G143" s="10" t="str">
        <f>"23107010136"</f>
        <v>23107010136</v>
      </c>
      <c r="H143" s="11" t="s">
        <v>12</v>
      </c>
      <c r="I143" s="13" t="s">
        <v>13</v>
      </c>
      <c r="J143" s="3"/>
    </row>
    <row r="144" spans="1:10" ht="30.75" customHeight="1">
      <c r="A144" s="9">
        <v>142</v>
      </c>
      <c r="B144" s="10" t="str">
        <f t="shared" si="10"/>
        <v>107</v>
      </c>
      <c r="C144" s="10" t="s">
        <v>24</v>
      </c>
      <c r="D144" s="10" t="s">
        <v>25</v>
      </c>
      <c r="E144" s="10" t="str">
        <f>"王欢"</f>
        <v>王欢</v>
      </c>
      <c r="F144" s="10" t="str">
        <f>"男"</f>
        <v>男</v>
      </c>
      <c r="G144" s="10" t="str">
        <f>"23107010137"</f>
        <v>23107010137</v>
      </c>
      <c r="H144" s="12">
        <v>78.28</v>
      </c>
      <c r="I144" s="13" t="s">
        <v>13</v>
      </c>
      <c r="J144" s="3"/>
    </row>
    <row r="145" spans="1:10" ht="30.75" customHeight="1">
      <c r="A145" s="9">
        <v>143</v>
      </c>
      <c r="B145" s="10" t="str">
        <f t="shared" si="10"/>
        <v>107</v>
      </c>
      <c r="C145" s="10" t="s">
        <v>24</v>
      </c>
      <c r="D145" s="10" t="s">
        <v>25</v>
      </c>
      <c r="E145" s="10" t="str">
        <f>"尤莺鸽"</f>
        <v>尤莺鸽</v>
      </c>
      <c r="F145" s="10" t="str">
        <f>"女"</f>
        <v>女</v>
      </c>
      <c r="G145" s="10" t="str">
        <f>"23107010138"</f>
        <v>23107010138</v>
      </c>
      <c r="H145" s="12">
        <v>73.42</v>
      </c>
      <c r="I145" s="13" t="s">
        <v>13</v>
      </c>
      <c r="J145" s="3"/>
    </row>
    <row r="146" spans="1:10" ht="30.75" customHeight="1">
      <c r="A146" s="9">
        <v>144</v>
      </c>
      <c r="B146" s="10" t="str">
        <f t="shared" si="10"/>
        <v>107</v>
      </c>
      <c r="C146" s="10" t="s">
        <v>24</v>
      </c>
      <c r="D146" s="10" t="s">
        <v>25</v>
      </c>
      <c r="E146" s="10" t="str">
        <f>"田慧"</f>
        <v>田慧</v>
      </c>
      <c r="F146" s="10" t="str">
        <f>"女"</f>
        <v>女</v>
      </c>
      <c r="G146" s="10" t="str">
        <f>"23107010139"</f>
        <v>23107010139</v>
      </c>
      <c r="H146" s="11" t="s">
        <v>12</v>
      </c>
      <c r="I146" s="13" t="s">
        <v>13</v>
      </c>
      <c r="J146" s="3"/>
    </row>
    <row r="147" spans="1:10" ht="30.75" customHeight="1">
      <c r="A147" s="9">
        <v>145</v>
      </c>
      <c r="B147" s="10" t="str">
        <f t="shared" si="10"/>
        <v>107</v>
      </c>
      <c r="C147" s="10" t="s">
        <v>24</v>
      </c>
      <c r="D147" s="10" t="s">
        <v>25</v>
      </c>
      <c r="E147" s="10" t="str">
        <f>"张敏"</f>
        <v>张敏</v>
      </c>
      <c r="F147" s="10" t="str">
        <f>"女"</f>
        <v>女</v>
      </c>
      <c r="G147" s="10" t="str">
        <f>"23107010140"</f>
        <v>23107010140</v>
      </c>
      <c r="H147" s="12">
        <v>75.9</v>
      </c>
      <c r="I147" s="13" t="s">
        <v>13</v>
      </c>
      <c r="J147" s="3"/>
    </row>
    <row r="148" spans="1:10" ht="30.75" customHeight="1">
      <c r="A148" s="9">
        <v>146</v>
      </c>
      <c r="B148" s="10" t="str">
        <f t="shared" si="10"/>
        <v>107</v>
      </c>
      <c r="C148" s="10" t="s">
        <v>24</v>
      </c>
      <c r="D148" s="10" t="s">
        <v>25</v>
      </c>
      <c r="E148" s="10" t="str">
        <f>"梁乌日图白音"</f>
        <v>梁乌日图白音</v>
      </c>
      <c r="F148" s="10" t="str">
        <f>"男"</f>
        <v>男</v>
      </c>
      <c r="G148" s="10" t="str">
        <f>"23107010141"</f>
        <v>23107010141</v>
      </c>
      <c r="H148" s="11" t="s">
        <v>12</v>
      </c>
      <c r="I148" s="13" t="s">
        <v>13</v>
      </c>
      <c r="J148" s="3"/>
    </row>
    <row r="149" spans="1:10" ht="30.75" customHeight="1">
      <c r="A149" s="9">
        <v>147</v>
      </c>
      <c r="B149" s="10" t="str">
        <f t="shared" si="10"/>
        <v>107</v>
      </c>
      <c r="C149" s="10" t="s">
        <v>24</v>
      </c>
      <c r="D149" s="10" t="s">
        <v>25</v>
      </c>
      <c r="E149" s="10" t="str">
        <f>"娜荷芽"</f>
        <v>娜荷芽</v>
      </c>
      <c r="F149" s="10" t="str">
        <f>"女"</f>
        <v>女</v>
      </c>
      <c r="G149" s="10" t="str">
        <f>"23107010142"</f>
        <v>23107010142</v>
      </c>
      <c r="H149" s="11" t="s">
        <v>12</v>
      </c>
      <c r="I149" s="13" t="s">
        <v>13</v>
      </c>
      <c r="J149" s="3"/>
    </row>
    <row r="150" spans="1:10" ht="30.75" customHeight="1">
      <c r="A150" s="9">
        <v>148</v>
      </c>
      <c r="B150" s="10" t="str">
        <f t="shared" si="10"/>
        <v>107</v>
      </c>
      <c r="C150" s="10" t="s">
        <v>24</v>
      </c>
      <c r="D150" s="10" t="s">
        <v>25</v>
      </c>
      <c r="E150" s="10" t="str">
        <f>"白佳鑫"</f>
        <v>白佳鑫</v>
      </c>
      <c r="F150" s="10" t="str">
        <f>"男"</f>
        <v>男</v>
      </c>
      <c r="G150" s="10" t="str">
        <f>"23107010143"</f>
        <v>23107010143</v>
      </c>
      <c r="H150" s="12">
        <v>74.62</v>
      </c>
      <c r="I150" s="13" t="s">
        <v>13</v>
      </c>
      <c r="J150" s="3"/>
    </row>
    <row r="151" spans="1:10" ht="30.75" customHeight="1">
      <c r="A151" s="9">
        <v>149</v>
      </c>
      <c r="B151" s="10" t="str">
        <f t="shared" si="10"/>
        <v>107</v>
      </c>
      <c r="C151" s="10" t="s">
        <v>24</v>
      </c>
      <c r="D151" s="10" t="s">
        <v>25</v>
      </c>
      <c r="E151" s="10" t="str">
        <f>"奇美"</f>
        <v>奇美</v>
      </c>
      <c r="F151" s="10" t="str">
        <f>"女"</f>
        <v>女</v>
      </c>
      <c r="G151" s="10" t="str">
        <f>"23107010144"</f>
        <v>23107010144</v>
      </c>
      <c r="H151" s="11" t="s">
        <v>12</v>
      </c>
      <c r="I151" s="13" t="s">
        <v>13</v>
      </c>
      <c r="J151" s="3"/>
    </row>
    <row r="152" spans="1:10" ht="30.75" customHeight="1">
      <c r="A152" s="9">
        <v>150</v>
      </c>
      <c r="B152" s="10" t="str">
        <f t="shared" si="10"/>
        <v>107</v>
      </c>
      <c r="C152" s="10" t="s">
        <v>24</v>
      </c>
      <c r="D152" s="10" t="s">
        <v>25</v>
      </c>
      <c r="E152" s="10" t="str">
        <f>"张如"</f>
        <v>张如</v>
      </c>
      <c r="F152" s="10" t="str">
        <f>"女"</f>
        <v>女</v>
      </c>
      <c r="G152" s="10" t="str">
        <f>"23107010145"</f>
        <v>23107010145</v>
      </c>
      <c r="H152" s="11" t="s">
        <v>12</v>
      </c>
      <c r="I152" s="13" t="s">
        <v>13</v>
      </c>
      <c r="J152" s="3"/>
    </row>
    <row r="153" spans="1:10" ht="30.75" customHeight="1">
      <c r="A153" s="9">
        <v>151</v>
      </c>
      <c r="B153" s="10" t="str">
        <f t="shared" si="10"/>
        <v>107</v>
      </c>
      <c r="C153" s="10" t="s">
        <v>24</v>
      </c>
      <c r="D153" s="10" t="s">
        <v>25</v>
      </c>
      <c r="E153" s="10" t="str">
        <f>"刘鹏飞"</f>
        <v>刘鹏飞</v>
      </c>
      <c r="F153" s="10" t="str">
        <f>"男"</f>
        <v>男</v>
      </c>
      <c r="G153" s="10" t="str">
        <f>"23107010146"</f>
        <v>23107010146</v>
      </c>
      <c r="H153" s="12">
        <v>71.52</v>
      </c>
      <c r="I153" s="13" t="s">
        <v>13</v>
      </c>
      <c r="J153" s="3"/>
    </row>
    <row r="154" spans="1:10" ht="30.75" customHeight="1">
      <c r="A154" s="9">
        <v>152</v>
      </c>
      <c r="B154" s="10" t="str">
        <f t="shared" si="10"/>
        <v>107</v>
      </c>
      <c r="C154" s="10" t="s">
        <v>24</v>
      </c>
      <c r="D154" s="10" t="s">
        <v>25</v>
      </c>
      <c r="E154" s="10" t="str">
        <f>"潘潇"</f>
        <v>潘潇</v>
      </c>
      <c r="F154" s="10" t="str">
        <f aca="true" t="shared" si="11" ref="F154:F162">"女"</f>
        <v>女</v>
      </c>
      <c r="G154" s="10" t="str">
        <f>"23107010147"</f>
        <v>23107010147</v>
      </c>
      <c r="H154" s="12">
        <v>78.38</v>
      </c>
      <c r="I154" s="13" t="s">
        <v>13</v>
      </c>
      <c r="J154" s="3"/>
    </row>
    <row r="155" spans="1:10" ht="30.75" customHeight="1">
      <c r="A155" s="9">
        <v>153</v>
      </c>
      <c r="B155" s="10" t="str">
        <f t="shared" si="10"/>
        <v>107</v>
      </c>
      <c r="C155" s="10" t="s">
        <v>24</v>
      </c>
      <c r="D155" s="10" t="s">
        <v>25</v>
      </c>
      <c r="E155" s="10" t="str">
        <f>"柳青"</f>
        <v>柳青</v>
      </c>
      <c r="F155" s="10" t="str">
        <f t="shared" si="11"/>
        <v>女</v>
      </c>
      <c r="G155" s="10" t="str">
        <f>"23107010148"</f>
        <v>23107010148</v>
      </c>
      <c r="H155" s="12">
        <v>76.92</v>
      </c>
      <c r="I155" s="13" t="s">
        <v>13</v>
      </c>
      <c r="J155" s="3"/>
    </row>
    <row r="156" spans="1:10" ht="30.75" customHeight="1">
      <c r="A156" s="9">
        <v>154</v>
      </c>
      <c r="B156" s="10" t="str">
        <f t="shared" si="10"/>
        <v>107</v>
      </c>
      <c r="C156" s="10" t="s">
        <v>24</v>
      </c>
      <c r="D156" s="10" t="s">
        <v>25</v>
      </c>
      <c r="E156" s="10" t="str">
        <f>"美丽"</f>
        <v>美丽</v>
      </c>
      <c r="F156" s="10" t="str">
        <f t="shared" si="11"/>
        <v>女</v>
      </c>
      <c r="G156" s="10" t="str">
        <f>"23107010149"</f>
        <v>23107010149</v>
      </c>
      <c r="H156" s="12">
        <v>75.98</v>
      </c>
      <c r="I156" s="13" t="s">
        <v>13</v>
      </c>
      <c r="J156" s="3"/>
    </row>
    <row r="157" spans="1:10" ht="30.75" customHeight="1">
      <c r="A157" s="9">
        <v>155</v>
      </c>
      <c r="B157" s="10" t="str">
        <f t="shared" si="10"/>
        <v>107</v>
      </c>
      <c r="C157" s="10" t="s">
        <v>24</v>
      </c>
      <c r="D157" s="10" t="s">
        <v>25</v>
      </c>
      <c r="E157" s="10" t="str">
        <f>"赵亚茹"</f>
        <v>赵亚茹</v>
      </c>
      <c r="F157" s="10" t="str">
        <f t="shared" si="11"/>
        <v>女</v>
      </c>
      <c r="G157" s="10" t="str">
        <f>"23107010150"</f>
        <v>23107010150</v>
      </c>
      <c r="H157" s="12">
        <v>65.84</v>
      </c>
      <c r="I157" s="13" t="s">
        <v>13</v>
      </c>
      <c r="J157" s="3"/>
    </row>
    <row r="158" spans="1:10" ht="30.75" customHeight="1">
      <c r="A158" s="9">
        <v>156</v>
      </c>
      <c r="B158" s="10" t="str">
        <f t="shared" si="10"/>
        <v>107</v>
      </c>
      <c r="C158" s="10" t="s">
        <v>24</v>
      </c>
      <c r="D158" s="10" t="s">
        <v>25</v>
      </c>
      <c r="E158" s="10" t="str">
        <f>"李艳"</f>
        <v>李艳</v>
      </c>
      <c r="F158" s="10" t="str">
        <f t="shared" si="11"/>
        <v>女</v>
      </c>
      <c r="G158" s="10" t="str">
        <f>"23107010151"</f>
        <v>23107010151</v>
      </c>
      <c r="H158" s="12">
        <v>79.08</v>
      </c>
      <c r="I158" s="13" t="s">
        <v>13</v>
      </c>
      <c r="J158" s="3"/>
    </row>
    <row r="159" spans="1:10" ht="30.75" customHeight="1">
      <c r="A159" s="9">
        <v>157</v>
      </c>
      <c r="B159" s="10" t="str">
        <f t="shared" si="10"/>
        <v>107</v>
      </c>
      <c r="C159" s="10" t="s">
        <v>24</v>
      </c>
      <c r="D159" s="10" t="s">
        <v>25</v>
      </c>
      <c r="E159" s="10" t="str">
        <f>"姬彩霞"</f>
        <v>姬彩霞</v>
      </c>
      <c r="F159" s="10" t="str">
        <f t="shared" si="11"/>
        <v>女</v>
      </c>
      <c r="G159" s="10" t="str">
        <f>"23107010152"</f>
        <v>23107010152</v>
      </c>
      <c r="H159" s="12">
        <v>78.4</v>
      </c>
      <c r="I159" s="13" t="s">
        <v>13</v>
      </c>
      <c r="J159" s="3"/>
    </row>
    <row r="160" spans="1:10" ht="30.75" customHeight="1">
      <c r="A160" s="9">
        <v>158</v>
      </c>
      <c r="B160" s="10" t="str">
        <f t="shared" si="10"/>
        <v>107</v>
      </c>
      <c r="C160" s="10" t="s">
        <v>24</v>
      </c>
      <c r="D160" s="10" t="s">
        <v>25</v>
      </c>
      <c r="E160" s="10" t="str">
        <f>"伊如汉"</f>
        <v>伊如汉</v>
      </c>
      <c r="F160" s="10" t="str">
        <f t="shared" si="11"/>
        <v>女</v>
      </c>
      <c r="G160" s="10" t="str">
        <f>"23107010153"</f>
        <v>23107010153</v>
      </c>
      <c r="H160" s="12">
        <v>68.54</v>
      </c>
      <c r="I160" s="13" t="s">
        <v>13</v>
      </c>
      <c r="J160" s="3"/>
    </row>
    <row r="161" spans="1:10" ht="30.75" customHeight="1">
      <c r="A161" s="9">
        <v>159</v>
      </c>
      <c r="B161" s="10" t="str">
        <f t="shared" si="10"/>
        <v>107</v>
      </c>
      <c r="C161" s="10" t="s">
        <v>24</v>
      </c>
      <c r="D161" s="10" t="s">
        <v>25</v>
      </c>
      <c r="E161" s="10" t="str">
        <f>"李阳"</f>
        <v>李阳</v>
      </c>
      <c r="F161" s="10" t="str">
        <f t="shared" si="11"/>
        <v>女</v>
      </c>
      <c r="G161" s="10" t="str">
        <f>"23107010154"</f>
        <v>23107010154</v>
      </c>
      <c r="H161" s="12">
        <v>77.74</v>
      </c>
      <c r="I161" s="13" t="s">
        <v>13</v>
      </c>
      <c r="J161" s="3"/>
    </row>
    <row r="162" spans="1:10" ht="30.75" customHeight="1">
      <c r="A162" s="9">
        <v>160</v>
      </c>
      <c r="B162" s="10" t="str">
        <f t="shared" si="10"/>
        <v>107</v>
      </c>
      <c r="C162" s="10" t="s">
        <v>24</v>
      </c>
      <c r="D162" s="10" t="s">
        <v>25</v>
      </c>
      <c r="E162" s="10" t="str">
        <f>"王雅宁"</f>
        <v>王雅宁</v>
      </c>
      <c r="F162" s="10" t="str">
        <f t="shared" si="11"/>
        <v>女</v>
      </c>
      <c r="G162" s="10" t="str">
        <f>"23107010155"</f>
        <v>23107010155</v>
      </c>
      <c r="H162" s="11" t="s">
        <v>12</v>
      </c>
      <c r="I162" s="13" t="s">
        <v>13</v>
      </c>
      <c r="J162" s="3"/>
    </row>
    <row r="163" spans="1:10" ht="30.75" customHeight="1">
      <c r="A163" s="9">
        <v>161</v>
      </c>
      <c r="B163" s="10" t="str">
        <f t="shared" si="10"/>
        <v>107</v>
      </c>
      <c r="C163" s="10" t="s">
        <v>24</v>
      </c>
      <c r="D163" s="10" t="s">
        <v>25</v>
      </c>
      <c r="E163" s="10" t="str">
        <f>"左志强"</f>
        <v>左志强</v>
      </c>
      <c r="F163" s="10" t="str">
        <f>"男"</f>
        <v>男</v>
      </c>
      <c r="G163" s="10" t="str">
        <f>"23107010156"</f>
        <v>23107010156</v>
      </c>
      <c r="H163" s="12">
        <v>75.9</v>
      </c>
      <c r="I163" s="13" t="s">
        <v>13</v>
      </c>
      <c r="J163" s="3"/>
    </row>
    <row r="164" spans="1:10" ht="30.75" customHeight="1">
      <c r="A164" s="9">
        <v>162</v>
      </c>
      <c r="B164" s="10" t="str">
        <f t="shared" si="10"/>
        <v>107</v>
      </c>
      <c r="C164" s="10" t="s">
        <v>24</v>
      </c>
      <c r="D164" s="10" t="s">
        <v>25</v>
      </c>
      <c r="E164" s="10" t="str">
        <f>"李玉花"</f>
        <v>李玉花</v>
      </c>
      <c r="F164" s="10" t="str">
        <f>"女"</f>
        <v>女</v>
      </c>
      <c r="G164" s="10" t="str">
        <f>"23107010157"</f>
        <v>23107010157</v>
      </c>
      <c r="H164" s="11" t="s">
        <v>12</v>
      </c>
      <c r="I164" s="13" t="s">
        <v>13</v>
      </c>
      <c r="J164" s="3"/>
    </row>
    <row r="165" spans="1:10" ht="30.75" customHeight="1">
      <c r="A165" s="9">
        <v>163</v>
      </c>
      <c r="B165" s="10" t="str">
        <f t="shared" si="10"/>
        <v>107</v>
      </c>
      <c r="C165" s="10" t="s">
        <v>24</v>
      </c>
      <c r="D165" s="10" t="s">
        <v>25</v>
      </c>
      <c r="E165" s="10" t="str">
        <f>"李雪"</f>
        <v>李雪</v>
      </c>
      <c r="F165" s="10" t="str">
        <f>"女"</f>
        <v>女</v>
      </c>
      <c r="G165" s="10" t="str">
        <f>"23107010158"</f>
        <v>23107010158</v>
      </c>
      <c r="H165" s="12">
        <v>74.7</v>
      </c>
      <c r="I165" s="13" t="s">
        <v>13</v>
      </c>
      <c r="J165" s="3"/>
    </row>
    <row r="166" spans="1:10" ht="30.75" customHeight="1">
      <c r="A166" s="9">
        <v>164</v>
      </c>
      <c r="B166" s="10" t="str">
        <f t="shared" si="10"/>
        <v>107</v>
      </c>
      <c r="C166" s="10" t="s">
        <v>24</v>
      </c>
      <c r="D166" s="10" t="s">
        <v>25</v>
      </c>
      <c r="E166" s="10" t="str">
        <f>"万波"</f>
        <v>万波</v>
      </c>
      <c r="F166" s="10" t="str">
        <f>"女"</f>
        <v>女</v>
      </c>
      <c r="G166" s="10" t="str">
        <f>"23107010159"</f>
        <v>23107010159</v>
      </c>
      <c r="H166" s="11" t="s">
        <v>12</v>
      </c>
      <c r="I166" s="13" t="s">
        <v>13</v>
      </c>
      <c r="J166" s="3"/>
    </row>
    <row r="167" spans="1:10" ht="30.75" customHeight="1">
      <c r="A167" s="9">
        <v>165</v>
      </c>
      <c r="B167" s="10" t="str">
        <f t="shared" si="10"/>
        <v>107</v>
      </c>
      <c r="C167" s="10" t="s">
        <v>24</v>
      </c>
      <c r="D167" s="10" t="s">
        <v>25</v>
      </c>
      <c r="E167" s="10" t="str">
        <f>"郝晓丽"</f>
        <v>郝晓丽</v>
      </c>
      <c r="F167" s="10" t="str">
        <f>"女"</f>
        <v>女</v>
      </c>
      <c r="G167" s="10" t="str">
        <f>"23107010160"</f>
        <v>23107010160</v>
      </c>
      <c r="H167" s="11" t="s">
        <v>12</v>
      </c>
      <c r="I167" s="13" t="s">
        <v>13</v>
      </c>
      <c r="J167" s="3"/>
    </row>
    <row r="168" spans="1:10" ht="30.75" customHeight="1">
      <c r="A168" s="9">
        <v>166</v>
      </c>
      <c r="B168" s="10" t="str">
        <f t="shared" si="10"/>
        <v>107</v>
      </c>
      <c r="C168" s="10" t="s">
        <v>24</v>
      </c>
      <c r="D168" s="10" t="s">
        <v>25</v>
      </c>
      <c r="E168" s="10" t="str">
        <f>"王旭"</f>
        <v>王旭</v>
      </c>
      <c r="F168" s="10" t="str">
        <f>"男"</f>
        <v>男</v>
      </c>
      <c r="G168" s="10" t="str">
        <f>"23107010161"</f>
        <v>23107010161</v>
      </c>
      <c r="H168" s="11" t="s">
        <v>12</v>
      </c>
      <c r="I168" s="13" t="s">
        <v>13</v>
      </c>
      <c r="J168" s="3"/>
    </row>
    <row r="169" spans="1:10" ht="30.75" customHeight="1">
      <c r="A169" s="9">
        <v>167</v>
      </c>
      <c r="B169" s="10" t="str">
        <f t="shared" si="10"/>
        <v>107</v>
      </c>
      <c r="C169" s="10" t="s">
        <v>24</v>
      </c>
      <c r="D169" s="10" t="s">
        <v>25</v>
      </c>
      <c r="E169" s="10" t="str">
        <f>"卢灏泽"</f>
        <v>卢灏泽</v>
      </c>
      <c r="F169" s="10" t="str">
        <f>"男"</f>
        <v>男</v>
      </c>
      <c r="G169" s="10" t="str">
        <f>"23107010162"</f>
        <v>23107010162</v>
      </c>
      <c r="H169" s="11" t="s">
        <v>12</v>
      </c>
      <c r="I169" s="13" t="s">
        <v>13</v>
      </c>
      <c r="J169" s="3"/>
    </row>
    <row r="170" spans="1:10" ht="30.75" customHeight="1">
      <c r="A170" s="9">
        <v>168</v>
      </c>
      <c r="B170" s="10" t="str">
        <f t="shared" si="10"/>
        <v>107</v>
      </c>
      <c r="C170" s="10" t="s">
        <v>24</v>
      </c>
      <c r="D170" s="10" t="s">
        <v>25</v>
      </c>
      <c r="E170" s="10" t="str">
        <f>"刘宏宇"</f>
        <v>刘宏宇</v>
      </c>
      <c r="F170" s="10" t="str">
        <f>"女"</f>
        <v>女</v>
      </c>
      <c r="G170" s="10" t="str">
        <f>"23107010163"</f>
        <v>23107010163</v>
      </c>
      <c r="H170" s="11" t="s">
        <v>12</v>
      </c>
      <c r="I170" s="13" t="s">
        <v>13</v>
      </c>
      <c r="J170" s="3"/>
    </row>
    <row r="171" spans="1:10" ht="30.75" customHeight="1">
      <c r="A171" s="9">
        <v>169</v>
      </c>
      <c r="B171" s="10" t="str">
        <f t="shared" si="10"/>
        <v>107</v>
      </c>
      <c r="C171" s="10" t="s">
        <v>24</v>
      </c>
      <c r="D171" s="10" t="s">
        <v>25</v>
      </c>
      <c r="E171" s="10" t="str">
        <f>"庄蒙蒙"</f>
        <v>庄蒙蒙</v>
      </c>
      <c r="F171" s="10" t="str">
        <f>"女"</f>
        <v>女</v>
      </c>
      <c r="G171" s="10" t="str">
        <f>"23107010164"</f>
        <v>23107010164</v>
      </c>
      <c r="H171" s="11" t="s">
        <v>12</v>
      </c>
      <c r="I171" s="13" t="s">
        <v>13</v>
      </c>
      <c r="J171" s="3"/>
    </row>
    <row r="172" spans="1:10" ht="30.75" customHeight="1">
      <c r="A172" s="9">
        <v>170</v>
      </c>
      <c r="B172" s="10" t="str">
        <f aca="true" t="shared" si="12" ref="B172:B191">"107"</f>
        <v>107</v>
      </c>
      <c r="C172" s="10" t="s">
        <v>24</v>
      </c>
      <c r="D172" s="10" t="s">
        <v>25</v>
      </c>
      <c r="E172" s="10" t="str">
        <f>"张卫华"</f>
        <v>张卫华</v>
      </c>
      <c r="F172" s="10" t="str">
        <f>"女"</f>
        <v>女</v>
      </c>
      <c r="G172" s="10" t="str">
        <f>"23107010165"</f>
        <v>23107010165</v>
      </c>
      <c r="H172" s="11" t="s">
        <v>12</v>
      </c>
      <c r="I172" s="13" t="s">
        <v>13</v>
      </c>
      <c r="J172" s="3"/>
    </row>
    <row r="173" spans="1:10" ht="30.75" customHeight="1">
      <c r="A173" s="9">
        <v>171</v>
      </c>
      <c r="B173" s="10" t="str">
        <f t="shared" si="12"/>
        <v>107</v>
      </c>
      <c r="C173" s="10" t="s">
        <v>24</v>
      </c>
      <c r="D173" s="10" t="s">
        <v>25</v>
      </c>
      <c r="E173" s="10" t="str">
        <f>"苗壮壮"</f>
        <v>苗壮壮</v>
      </c>
      <c r="F173" s="10" t="str">
        <f>"男"</f>
        <v>男</v>
      </c>
      <c r="G173" s="10" t="str">
        <f>"23107010166"</f>
        <v>23107010166</v>
      </c>
      <c r="H173" s="11" t="s">
        <v>12</v>
      </c>
      <c r="I173" s="13" t="s">
        <v>13</v>
      </c>
      <c r="J173" s="3"/>
    </row>
    <row r="174" spans="1:10" ht="30.75" customHeight="1">
      <c r="A174" s="9">
        <v>172</v>
      </c>
      <c r="B174" s="10" t="str">
        <f t="shared" si="12"/>
        <v>107</v>
      </c>
      <c r="C174" s="10" t="s">
        <v>24</v>
      </c>
      <c r="D174" s="10" t="s">
        <v>25</v>
      </c>
      <c r="E174" s="10" t="str">
        <f>"徐兴阳"</f>
        <v>徐兴阳</v>
      </c>
      <c r="F174" s="10" t="str">
        <f>"女"</f>
        <v>女</v>
      </c>
      <c r="G174" s="10" t="str">
        <f>"23107010167"</f>
        <v>23107010167</v>
      </c>
      <c r="H174" s="11" t="s">
        <v>12</v>
      </c>
      <c r="I174" s="13" t="s">
        <v>13</v>
      </c>
      <c r="J174" s="3"/>
    </row>
    <row r="175" spans="1:10" ht="30.75" customHeight="1">
      <c r="A175" s="9">
        <v>173</v>
      </c>
      <c r="B175" s="10" t="str">
        <f t="shared" si="12"/>
        <v>107</v>
      </c>
      <c r="C175" s="10" t="s">
        <v>24</v>
      </c>
      <c r="D175" s="10" t="s">
        <v>25</v>
      </c>
      <c r="E175" s="10" t="str">
        <f>"武燕燕"</f>
        <v>武燕燕</v>
      </c>
      <c r="F175" s="10" t="str">
        <f>"女"</f>
        <v>女</v>
      </c>
      <c r="G175" s="10" t="str">
        <f>"23107010168"</f>
        <v>23107010168</v>
      </c>
      <c r="H175" s="12">
        <v>74.44</v>
      </c>
      <c r="I175" s="13" t="s">
        <v>13</v>
      </c>
      <c r="J175" s="3"/>
    </row>
    <row r="176" spans="1:10" ht="30.75" customHeight="1">
      <c r="A176" s="9">
        <v>174</v>
      </c>
      <c r="B176" s="10" t="str">
        <f t="shared" si="12"/>
        <v>107</v>
      </c>
      <c r="C176" s="10" t="s">
        <v>24</v>
      </c>
      <c r="D176" s="10" t="s">
        <v>25</v>
      </c>
      <c r="E176" s="10" t="str">
        <f>"郭坤杰"</f>
        <v>郭坤杰</v>
      </c>
      <c r="F176" s="10" t="str">
        <f>"女"</f>
        <v>女</v>
      </c>
      <c r="G176" s="10" t="str">
        <f>"23107010169"</f>
        <v>23107010169</v>
      </c>
      <c r="H176" s="12">
        <v>77.56</v>
      </c>
      <c r="I176" s="13" t="s">
        <v>13</v>
      </c>
      <c r="J176" s="3"/>
    </row>
    <row r="177" spans="1:10" ht="30.75" customHeight="1">
      <c r="A177" s="9">
        <v>175</v>
      </c>
      <c r="B177" s="10" t="str">
        <f t="shared" si="12"/>
        <v>107</v>
      </c>
      <c r="C177" s="10" t="s">
        <v>24</v>
      </c>
      <c r="D177" s="10" t="s">
        <v>25</v>
      </c>
      <c r="E177" s="10" t="str">
        <f>"李娜"</f>
        <v>李娜</v>
      </c>
      <c r="F177" s="10" t="str">
        <f>"女"</f>
        <v>女</v>
      </c>
      <c r="G177" s="10" t="str">
        <f>"23107010170"</f>
        <v>23107010170</v>
      </c>
      <c r="H177" s="11" t="s">
        <v>12</v>
      </c>
      <c r="I177" s="13" t="s">
        <v>13</v>
      </c>
      <c r="J177" s="3"/>
    </row>
    <row r="178" spans="1:10" ht="30.75" customHeight="1">
      <c r="A178" s="9">
        <v>176</v>
      </c>
      <c r="B178" s="10" t="str">
        <f t="shared" si="12"/>
        <v>107</v>
      </c>
      <c r="C178" s="10" t="s">
        <v>24</v>
      </c>
      <c r="D178" s="10" t="s">
        <v>25</v>
      </c>
      <c r="E178" s="10" t="str">
        <f>"闫雨东"</f>
        <v>闫雨东</v>
      </c>
      <c r="F178" s="10" t="str">
        <f>"男"</f>
        <v>男</v>
      </c>
      <c r="G178" s="10" t="str">
        <f>"23107010171"</f>
        <v>23107010171</v>
      </c>
      <c r="H178" s="11" t="s">
        <v>12</v>
      </c>
      <c r="I178" s="13" t="s">
        <v>13</v>
      </c>
      <c r="J178" s="3"/>
    </row>
    <row r="179" spans="1:10" ht="30.75" customHeight="1">
      <c r="A179" s="9">
        <v>177</v>
      </c>
      <c r="B179" s="10" t="str">
        <f t="shared" si="12"/>
        <v>107</v>
      </c>
      <c r="C179" s="10" t="s">
        <v>24</v>
      </c>
      <c r="D179" s="10" t="s">
        <v>25</v>
      </c>
      <c r="E179" s="10" t="str">
        <f>"院佩佩"</f>
        <v>院佩佩</v>
      </c>
      <c r="F179" s="10" t="str">
        <f aca="true" t="shared" si="13" ref="F179:F187">"女"</f>
        <v>女</v>
      </c>
      <c r="G179" s="10" t="str">
        <f>"23107010172"</f>
        <v>23107010172</v>
      </c>
      <c r="H179" s="12">
        <v>76.16</v>
      </c>
      <c r="I179" s="13" t="s">
        <v>13</v>
      </c>
      <c r="J179" s="3"/>
    </row>
    <row r="180" spans="1:10" ht="30.75" customHeight="1">
      <c r="A180" s="9">
        <v>178</v>
      </c>
      <c r="B180" s="10" t="str">
        <f t="shared" si="12"/>
        <v>107</v>
      </c>
      <c r="C180" s="10" t="s">
        <v>24</v>
      </c>
      <c r="D180" s="10" t="s">
        <v>25</v>
      </c>
      <c r="E180" s="10" t="str">
        <f>"温雅骄"</f>
        <v>温雅骄</v>
      </c>
      <c r="F180" s="10" t="str">
        <f t="shared" si="13"/>
        <v>女</v>
      </c>
      <c r="G180" s="10" t="str">
        <f>"23107010173"</f>
        <v>23107010173</v>
      </c>
      <c r="H180" s="11" t="s">
        <v>12</v>
      </c>
      <c r="I180" s="13" t="s">
        <v>13</v>
      </c>
      <c r="J180" s="3"/>
    </row>
    <row r="181" spans="1:10" ht="30.75" customHeight="1">
      <c r="A181" s="9">
        <v>179</v>
      </c>
      <c r="B181" s="10" t="str">
        <f t="shared" si="12"/>
        <v>107</v>
      </c>
      <c r="C181" s="10" t="s">
        <v>24</v>
      </c>
      <c r="D181" s="10" t="s">
        <v>25</v>
      </c>
      <c r="E181" s="10" t="str">
        <f>"刘敬然"</f>
        <v>刘敬然</v>
      </c>
      <c r="F181" s="10" t="str">
        <f t="shared" si="13"/>
        <v>女</v>
      </c>
      <c r="G181" s="10" t="str">
        <f>"23107010174"</f>
        <v>23107010174</v>
      </c>
      <c r="H181" s="12">
        <v>77.02</v>
      </c>
      <c r="I181" s="13" t="s">
        <v>13</v>
      </c>
      <c r="J181" s="3"/>
    </row>
    <row r="182" spans="1:10" ht="30.75" customHeight="1">
      <c r="A182" s="9">
        <v>180</v>
      </c>
      <c r="B182" s="10" t="str">
        <f t="shared" si="12"/>
        <v>107</v>
      </c>
      <c r="C182" s="10" t="s">
        <v>24</v>
      </c>
      <c r="D182" s="10" t="s">
        <v>25</v>
      </c>
      <c r="E182" s="10" t="str">
        <f>"尚玉婷"</f>
        <v>尚玉婷</v>
      </c>
      <c r="F182" s="10" t="str">
        <f t="shared" si="13"/>
        <v>女</v>
      </c>
      <c r="G182" s="10" t="str">
        <f>"23107010175"</f>
        <v>23107010175</v>
      </c>
      <c r="H182" s="11" t="s">
        <v>12</v>
      </c>
      <c r="I182" s="13" t="s">
        <v>13</v>
      </c>
      <c r="J182" s="3"/>
    </row>
    <row r="183" spans="1:10" ht="30.75" customHeight="1">
      <c r="A183" s="9">
        <v>181</v>
      </c>
      <c r="B183" s="10" t="str">
        <f t="shared" si="12"/>
        <v>107</v>
      </c>
      <c r="C183" s="10" t="s">
        <v>24</v>
      </c>
      <c r="D183" s="10" t="s">
        <v>25</v>
      </c>
      <c r="E183" s="10" t="str">
        <f>"刘佳"</f>
        <v>刘佳</v>
      </c>
      <c r="F183" s="10" t="str">
        <f t="shared" si="13"/>
        <v>女</v>
      </c>
      <c r="G183" s="10" t="str">
        <f>"23107010176"</f>
        <v>23107010176</v>
      </c>
      <c r="H183" s="12">
        <v>75.52</v>
      </c>
      <c r="I183" s="13" t="s">
        <v>13</v>
      </c>
      <c r="J183" s="3"/>
    </row>
    <row r="184" spans="1:10" ht="30.75" customHeight="1">
      <c r="A184" s="9">
        <v>182</v>
      </c>
      <c r="B184" s="10" t="str">
        <f t="shared" si="12"/>
        <v>107</v>
      </c>
      <c r="C184" s="10" t="s">
        <v>24</v>
      </c>
      <c r="D184" s="10" t="s">
        <v>25</v>
      </c>
      <c r="E184" s="10" t="str">
        <f>"史学敏"</f>
        <v>史学敏</v>
      </c>
      <c r="F184" s="10" t="str">
        <f t="shared" si="13"/>
        <v>女</v>
      </c>
      <c r="G184" s="10" t="str">
        <f>"23107010177"</f>
        <v>23107010177</v>
      </c>
      <c r="H184" s="12">
        <v>70.38</v>
      </c>
      <c r="I184" s="13" t="s">
        <v>13</v>
      </c>
      <c r="J184" s="3"/>
    </row>
    <row r="185" spans="1:10" ht="30.75" customHeight="1">
      <c r="A185" s="9">
        <v>183</v>
      </c>
      <c r="B185" s="10" t="str">
        <f t="shared" si="12"/>
        <v>107</v>
      </c>
      <c r="C185" s="10" t="s">
        <v>24</v>
      </c>
      <c r="D185" s="10" t="s">
        <v>25</v>
      </c>
      <c r="E185" s="10" t="str">
        <f>"马微"</f>
        <v>马微</v>
      </c>
      <c r="F185" s="10" t="str">
        <f t="shared" si="13"/>
        <v>女</v>
      </c>
      <c r="G185" s="10" t="str">
        <f>"23107010178"</f>
        <v>23107010178</v>
      </c>
      <c r="H185" s="11" t="s">
        <v>12</v>
      </c>
      <c r="I185" s="13" t="s">
        <v>13</v>
      </c>
      <c r="J185" s="3"/>
    </row>
    <row r="186" spans="1:10" ht="30.75" customHeight="1">
      <c r="A186" s="9">
        <v>184</v>
      </c>
      <c r="B186" s="10" t="str">
        <f t="shared" si="12"/>
        <v>107</v>
      </c>
      <c r="C186" s="10" t="s">
        <v>24</v>
      </c>
      <c r="D186" s="10" t="s">
        <v>25</v>
      </c>
      <c r="E186" s="10" t="str">
        <f>"赵玉立"</f>
        <v>赵玉立</v>
      </c>
      <c r="F186" s="10" t="str">
        <f t="shared" si="13"/>
        <v>女</v>
      </c>
      <c r="G186" s="10" t="str">
        <f>"23107010179"</f>
        <v>23107010179</v>
      </c>
      <c r="H186" s="12">
        <v>75.64</v>
      </c>
      <c r="I186" s="13" t="s">
        <v>13</v>
      </c>
      <c r="J186" s="3"/>
    </row>
    <row r="187" spans="1:10" ht="30.75" customHeight="1">
      <c r="A187" s="9">
        <v>185</v>
      </c>
      <c r="B187" s="10" t="str">
        <f t="shared" si="12"/>
        <v>107</v>
      </c>
      <c r="C187" s="10" t="s">
        <v>24</v>
      </c>
      <c r="D187" s="10" t="s">
        <v>25</v>
      </c>
      <c r="E187" s="10" t="str">
        <f>"乔少婷"</f>
        <v>乔少婷</v>
      </c>
      <c r="F187" s="10" t="str">
        <f t="shared" si="13"/>
        <v>女</v>
      </c>
      <c r="G187" s="10" t="str">
        <f>"23107010180"</f>
        <v>23107010180</v>
      </c>
      <c r="H187" s="12">
        <v>76.6</v>
      </c>
      <c r="I187" s="13" t="s">
        <v>13</v>
      </c>
      <c r="J187" s="3"/>
    </row>
    <row r="188" spans="1:10" ht="30.75" customHeight="1">
      <c r="A188" s="9">
        <v>186</v>
      </c>
      <c r="B188" s="10" t="str">
        <f t="shared" si="12"/>
        <v>107</v>
      </c>
      <c r="C188" s="10" t="s">
        <v>24</v>
      </c>
      <c r="D188" s="10" t="s">
        <v>25</v>
      </c>
      <c r="E188" s="10" t="str">
        <f>"刘玮"</f>
        <v>刘玮</v>
      </c>
      <c r="F188" s="10" t="str">
        <f>"男"</f>
        <v>男</v>
      </c>
      <c r="G188" s="10" t="str">
        <f>"23107010181"</f>
        <v>23107010181</v>
      </c>
      <c r="H188" s="12">
        <v>77.84</v>
      </c>
      <c r="I188" s="13" t="s">
        <v>13</v>
      </c>
      <c r="J188" s="3"/>
    </row>
    <row r="189" spans="1:10" ht="30.75" customHeight="1">
      <c r="A189" s="9">
        <v>187</v>
      </c>
      <c r="B189" s="10" t="str">
        <f t="shared" si="12"/>
        <v>107</v>
      </c>
      <c r="C189" s="10" t="s">
        <v>24</v>
      </c>
      <c r="D189" s="10" t="s">
        <v>25</v>
      </c>
      <c r="E189" s="10" t="str">
        <f>"高悦"</f>
        <v>高悦</v>
      </c>
      <c r="F189" s="10" t="str">
        <f>"女"</f>
        <v>女</v>
      </c>
      <c r="G189" s="10" t="str">
        <f>"23107010182"</f>
        <v>23107010182</v>
      </c>
      <c r="H189" s="12">
        <v>79</v>
      </c>
      <c r="I189" s="13" t="s">
        <v>13</v>
      </c>
      <c r="J189" s="3"/>
    </row>
    <row r="190" spans="1:10" ht="30.75" customHeight="1">
      <c r="A190" s="9">
        <v>188</v>
      </c>
      <c r="B190" s="10" t="str">
        <f t="shared" si="12"/>
        <v>107</v>
      </c>
      <c r="C190" s="10" t="s">
        <v>24</v>
      </c>
      <c r="D190" s="10" t="s">
        <v>25</v>
      </c>
      <c r="E190" s="10" t="str">
        <f>"冯超"</f>
        <v>冯超</v>
      </c>
      <c r="F190" s="10" t="str">
        <f>"男"</f>
        <v>男</v>
      </c>
      <c r="G190" s="10" t="str">
        <f>"23107010183"</f>
        <v>23107010183</v>
      </c>
      <c r="H190" s="12">
        <v>77.26</v>
      </c>
      <c r="I190" s="13" t="s">
        <v>13</v>
      </c>
      <c r="J190" s="3"/>
    </row>
    <row r="191" spans="1:10" ht="30.75" customHeight="1">
      <c r="A191" s="9">
        <v>189</v>
      </c>
      <c r="B191" s="10" t="str">
        <f t="shared" si="12"/>
        <v>107</v>
      </c>
      <c r="C191" s="10" t="s">
        <v>24</v>
      </c>
      <c r="D191" s="10" t="s">
        <v>25</v>
      </c>
      <c r="E191" s="10" t="str">
        <f>"杨豫菘"</f>
        <v>杨豫菘</v>
      </c>
      <c r="F191" s="10" t="str">
        <f>"女"</f>
        <v>女</v>
      </c>
      <c r="G191" s="10" t="str">
        <f>"23107010184"</f>
        <v>23107010184</v>
      </c>
      <c r="H191" s="12">
        <v>78.88</v>
      </c>
      <c r="I191" s="13" t="s">
        <v>13</v>
      </c>
      <c r="J191" s="3"/>
    </row>
    <row r="192" spans="1:10" ht="30.75" customHeight="1">
      <c r="A192" s="9">
        <v>190</v>
      </c>
      <c r="B192" s="10" t="str">
        <f aca="true" t="shared" si="14" ref="B192:B206">"108"</f>
        <v>108</v>
      </c>
      <c r="C192" s="10" t="s">
        <v>26</v>
      </c>
      <c r="D192" s="10" t="s">
        <v>27</v>
      </c>
      <c r="E192" s="10" t="str">
        <f>"苏鹏程"</f>
        <v>苏鹏程</v>
      </c>
      <c r="F192" s="10" t="str">
        <f>"男"</f>
        <v>男</v>
      </c>
      <c r="G192" s="10" t="str">
        <f>"23108010401"</f>
        <v>23108010401</v>
      </c>
      <c r="H192" s="12">
        <v>77.68</v>
      </c>
      <c r="I192" s="13" t="s">
        <v>13</v>
      </c>
      <c r="J192" s="3"/>
    </row>
    <row r="193" spans="1:10" ht="30.75" customHeight="1">
      <c r="A193" s="9">
        <v>191</v>
      </c>
      <c r="B193" s="10" t="str">
        <f t="shared" si="14"/>
        <v>108</v>
      </c>
      <c r="C193" s="10" t="s">
        <v>26</v>
      </c>
      <c r="D193" s="10" t="s">
        <v>27</v>
      </c>
      <c r="E193" s="10" t="str">
        <f>"乌日罕"</f>
        <v>乌日罕</v>
      </c>
      <c r="F193" s="10" t="str">
        <f>"女"</f>
        <v>女</v>
      </c>
      <c r="G193" s="10" t="str">
        <f>"23108010402"</f>
        <v>23108010402</v>
      </c>
      <c r="H193" s="11" t="s">
        <v>12</v>
      </c>
      <c r="I193" s="13" t="s">
        <v>13</v>
      </c>
      <c r="J193" s="3"/>
    </row>
    <row r="194" spans="1:10" ht="30.75" customHeight="1">
      <c r="A194" s="9">
        <v>192</v>
      </c>
      <c r="B194" s="10" t="str">
        <f t="shared" si="14"/>
        <v>108</v>
      </c>
      <c r="C194" s="10" t="s">
        <v>26</v>
      </c>
      <c r="D194" s="10" t="s">
        <v>27</v>
      </c>
      <c r="E194" s="10" t="str">
        <f>"白丹"</f>
        <v>白丹</v>
      </c>
      <c r="F194" s="10" t="str">
        <f>"女"</f>
        <v>女</v>
      </c>
      <c r="G194" s="10" t="str">
        <f>"23108010403"</f>
        <v>23108010403</v>
      </c>
      <c r="H194" s="11" t="s">
        <v>12</v>
      </c>
      <c r="I194" s="13" t="s">
        <v>13</v>
      </c>
      <c r="J194" s="3"/>
    </row>
    <row r="195" spans="1:10" ht="30.75" customHeight="1">
      <c r="A195" s="9">
        <v>193</v>
      </c>
      <c r="B195" s="10" t="str">
        <f t="shared" si="14"/>
        <v>108</v>
      </c>
      <c r="C195" s="10" t="s">
        <v>26</v>
      </c>
      <c r="D195" s="10" t="s">
        <v>27</v>
      </c>
      <c r="E195" s="10" t="str">
        <f>"王雅宁"</f>
        <v>王雅宁</v>
      </c>
      <c r="F195" s="10" t="str">
        <f>"男"</f>
        <v>男</v>
      </c>
      <c r="G195" s="10" t="str">
        <f>"23108010404"</f>
        <v>23108010404</v>
      </c>
      <c r="H195" s="11" t="s">
        <v>12</v>
      </c>
      <c r="I195" s="13" t="s">
        <v>13</v>
      </c>
      <c r="J195" s="3"/>
    </row>
    <row r="196" spans="1:10" ht="30.75" customHeight="1">
      <c r="A196" s="9">
        <v>194</v>
      </c>
      <c r="B196" s="10" t="str">
        <f t="shared" si="14"/>
        <v>108</v>
      </c>
      <c r="C196" s="10" t="s">
        <v>26</v>
      </c>
      <c r="D196" s="10" t="s">
        <v>27</v>
      </c>
      <c r="E196" s="10" t="str">
        <f>"陈红梅"</f>
        <v>陈红梅</v>
      </c>
      <c r="F196" s="10" t="str">
        <f>"女"</f>
        <v>女</v>
      </c>
      <c r="G196" s="10" t="str">
        <f>"23108010405"</f>
        <v>23108010405</v>
      </c>
      <c r="H196" s="12">
        <v>81</v>
      </c>
      <c r="I196" s="12" t="s">
        <v>15</v>
      </c>
      <c r="J196" s="3"/>
    </row>
    <row r="197" spans="1:10" ht="30.75" customHeight="1">
      <c r="A197" s="9">
        <v>195</v>
      </c>
      <c r="B197" s="10" t="str">
        <f t="shared" si="14"/>
        <v>108</v>
      </c>
      <c r="C197" s="10" t="s">
        <v>26</v>
      </c>
      <c r="D197" s="10" t="s">
        <v>27</v>
      </c>
      <c r="E197" s="10" t="str">
        <f>"袁梦瑶"</f>
        <v>袁梦瑶</v>
      </c>
      <c r="F197" s="10" t="str">
        <f>"女"</f>
        <v>女</v>
      </c>
      <c r="G197" s="10" t="str">
        <f>"23108010406"</f>
        <v>23108010406</v>
      </c>
      <c r="H197" s="11" t="s">
        <v>12</v>
      </c>
      <c r="I197" s="13" t="s">
        <v>13</v>
      </c>
      <c r="J197" s="3"/>
    </row>
    <row r="198" spans="1:10" ht="30.75" customHeight="1">
      <c r="A198" s="9">
        <v>196</v>
      </c>
      <c r="B198" s="10" t="str">
        <f t="shared" si="14"/>
        <v>108</v>
      </c>
      <c r="C198" s="10" t="s">
        <v>26</v>
      </c>
      <c r="D198" s="10" t="s">
        <v>27</v>
      </c>
      <c r="E198" s="10" t="str">
        <f>"武月波"</f>
        <v>武月波</v>
      </c>
      <c r="F198" s="10" t="str">
        <f>"女"</f>
        <v>女</v>
      </c>
      <c r="G198" s="10" t="str">
        <f>"23108010407"</f>
        <v>23108010407</v>
      </c>
      <c r="H198" s="12">
        <v>75.68</v>
      </c>
      <c r="I198" s="13" t="s">
        <v>13</v>
      </c>
      <c r="J198" s="3"/>
    </row>
    <row r="199" spans="1:10" ht="30.75" customHeight="1">
      <c r="A199" s="9">
        <v>197</v>
      </c>
      <c r="B199" s="10" t="str">
        <f t="shared" si="14"/>
        <v>108</v>
      </c>
      <c r="C199" s="10" t="s">
        <v>26</v>
      </c>
      <c r="D199" s="10" t="s">
        <v>27</v>
      </c>
      <c r="E199" s="10" t="str">
        <f>"蔡雨萌"</f>
        <v>蔡雨萌</v>
      </c>
      <c r="F199" s="10" t="str">
        <f>"女"</f>
        <v>女</v>
      </c>
      <c r="G199" s="10" t="str">
        <f>"23108010408"</f>
        <v>23108010408</v>
      </c>
      <c r="H199" s="11" t="s">
        <v>12</v>
      </c>
      <c r="I199" s="13" t="s">
        <v>13</v>
      </c>
      <c r="J199" s="3"/>
    </row>
    <row r="200" spans="1:10" ht="30.75" customHeight="1">
      <c r="A200" s="9">
        <v>198</v>
      </c>
      <c r="B200" s="10" t="str">
        <f t="shared" si="14"/>
        <v>108</v>
      </c>
      <c r="C200" s="10" t="s">
        <v>26</v>
      </c>
      <c r="D200" s="10" t="s">
        <v>27</v>
      </c>
      <c r="E200" s="10" t="str">
        <f>"任宏宇"</f>
        <v>任宏宇</v>
      </c>
      <c r="F200" s="10" t="str">
        <f>"男"</f>
        <v>男</v>
      </c>
      <c r="G200" s="10" t="str">
        <f>"23108010409"</f>
        <v>23108010409</v>
      </c>
      <c r="H200" s="12">
        <v>76.44</v>
      </c>
      <c r="I200" s="13" t="s">
        <v>13</v>
      </c>
      <c r="J200" s="3"/>
    </row>
    <row r="201" spans="1:10" ht="30.75" customHeight="1">
      <c r="A201" s="9">
        <v>199</v>
      </c>
      <c r="B201" s="10" t="str">
        <f t="shared" si="14"/>
        <v>108</v>
      </c>
      <c r="C201" s="10" t="s">
        <v>26</v>
      </c>
      <c r="D201" s="10" t="s">
        <v>27</v>
      </c>
      <c r="E201" s="10" t="str">
        <f>"胡日瓦"</f>
        <v>胡日瓦</v>
      </c>
      <c r="F201" s="10" t="str">
        <f>"男"</f>
        <v>男</v>
      </c>
      <c r="G201" s="10" t="str">
        <f>"23108010410"</f>
        <v>23108010410</v>
      </c>
      <c r="H201" s="12">
        <v>75.22</v>
      </c>
      <c r="I201" s="13" t="s">
        <v>13</v>
      </c>
      <c r="J201" s="3"/>
    </row>
    <row r="202" spans="1:10" ht="30.75" customHeight="1">
      <c r="A202" s="9">
        <v>200</v>
      </c>
      <c r="B202" s="10" t="str">
        <f t="shared" si="14"/>
        <v>108</v>
      </c>
      <c r="C202" s="10" t="s">
        <v>26</v>
      </c>
      <c r="D202" s="10" t="s">
        <v>27</v>
      </c>
      <c r="E202" s="10" t="str">
        <f>"吴静"</f>
        <v>吴静</v>
      </c>
      <c r="F202" s="10" t="str">
        <f>"女"</f>
        <v>女</v>
      </c>
      <c r="G202" s="10" t="str">
        <f>"23108010411"</f>
        <v>23108010411</v>
      </c>
      <c r="H202" s="12">
        <v>72.2</v>
      </c>
      <c r="I202" s="13" t="s">
        <v>13</v>
      </c>
      <c r="J202" s="3"/>
    </row>
    <row r="203" spans="1:10" ht="30.75" customHeight="1">
      <c r="A203" s="9">
        <v>201</v>
      </c>
      <c r="B203" s="10" t="str">
        <f t="shared" si="14"/>
        <v>108</v>
      </c>
      <c r="C203" s="10" t="s">
        <v>26</v>
      </c>
      <c r="D203" s="10" t="s">
        <v>27</v>
      </c>
      <c r="E203" s="10" t="str">
        <f>"散旦"</f>
        <v>散旦</v>
      </c>
      <c r="F203" s="10" t="str">
        <f>"女"</f>
        <v>女</v>
      </c>
      <c r="G203" s="10" t="str">
        <f>"23108010412"</f>
        <v>23108010412</v>
      </c>
      <c r="H203" s="12">
        <v>45.48</v>
      </c>
      <c r="I203" s="13" t="s">
        <v>13</v>
      </c>
      <c r="J203" s="3"/>
    </row>
    <row r="204" spans="1:10" ht="30.75" customHeight="1">
      <c r="A204" s="9">
        <v>202</v>
      </c>
      <c r="B204" s="10" t="str">
        <f t="shared" si="14"/>
        <v>108</v>
      </c>
      <c r="C204" s="10" t="s">
        <v>26</v>
      </c>
      <c r="D204" s="10" t="s">
        <v>27</v>
      </c>
      <c r="E204" s="10" t="str">
        <f>"乌日汉"</f>
        <v>乌日汉</v>
      </c>
      <c r="F204" s="10" t="str">
        <f>"女"</f>
        <v>女</v>
      </c>
      <c r="G204" s="10" t="str">
        <f>"23108010413"</f>
        <v>23108010413</v>
      </c>
      <c r="H204" s="12">
        <v>76.8</v>
      </c>
      <c r="I204" s="13" t="s">
        <v>13</v>
      </c>
      <c r="J204" s="3"/>
    </row>
    <row r="205" spans="1:10" ht="30.75" customHeight="1">
      <c r="A205" s="9">
        <v>203</v>
      </c>
      <c r="B205" s="10" t="str">
        <f t="shared" si="14"/>
        <v>108</v>
      </c>
      <c r="C205" s="10" t="s">
        <v>26</v>
      </c>
      <c r="D205" s="10" t="s">
        <v>27</v>
      </c>
      <c r="E205" s="10" t="str">
        <f>"赵君"</f>
        <v>赵君</v>
      </c>
      <c r="F205" s="10" t="str">
        <f>"男"</f>
        <v>男</v>
      </c>
      <c r="G205" s="10" t="str">
        <f>"23108010414"</f>
        <v>23108010414</v>
      </c>
      <c r="H205" s="11" t="s">
        <v>12</v>
      </c>
      <c r="I205" s="13" t="s">
        <v>13</v>
      </c>
      <c r="J205" s="3"/>
    </row>
    <row r="206" spans="1:10" ht="30.75" customHeight="1">
      <c r="A206" s="9">
        <v>204</v>
      </c>
      <c r="B206" s="10" t="str">
        <f t="shared" si="14"/>
        <v>108</v>
      </c>
      <c r="C206" s="10" t="s">
        <v>26</v>
      </c>
      <c r="D206" s="10" t="s">
        <v>27</v>
      </c>
      <c r="E206" s="10" t="str">
        <f>"李婉琪"</f>
        <v>李婉琪</v>
      </c>
      <c r="F206" s="10" t="str">
        <f>"女"</f>
        <v>女</v>
      </c>
      <c r="G206" s="10" t="str">
        <f>"23108010415"</f>
        <v>23108010415</v>
      </c>
      <c r="H206" s="12">
        <v>79.02</v>
      </c>
      <c r="I206" s="13" t="s">
        <v>13</v>
      </c>
      <c r="J206" s="3"/>
    </row>
    <row r="207" spans="1:10" ht="30.75" customHeight="1">
      <c r="A207" s="9">
        <v>205</v>
      </c>
      <c r="B207" s="10" t="str">
        <f aca="true" t="shared" si="15" ref="B207:B239">"109"</f>
        <v>109</v>
      </c>
      <c r="C207" s="10" t="s">
        <v>28</v>
      </c>
      <c r="D207" s="10" t="s">
        <v>27</v>
      </c>
      <c r="E207" s="10" t="str">
        <f>"白杰"</f>
        <v>白杰</v>
      </c>
      <c r="F207" s="10" t="str">
        <f>"男"</f>
        <v>男</v>
      </c>
      <c r="G207" s="10" t="str">
        <f>"23109010416"</f>
        <v>23109010416</v>
      </c>
      <c r="H207" s="12">
        <v>76.78</v>
      </c>
      <c r="I207" s="13" t="s">
        <v>13</v>
      </c>
      <c r="J207" s="3"/>
    </row>
    <row r="208" spans="1:10" ht="30.75" customHeight="1">
      <c r="A208" s="9">
        <v>206</v>
      </c>
      <c r="B208" s="10" t="str">
        <f t="shared" si="15"/>
        <v>109</v>
      </c>
      <c r="C208" s="10" t="s">
        <v>28</v>
      </c>
      <c r="D208" s="10" t="s">
        <v>27</v>
      </c>
      <c r="E208" s="10" t="str">
        <f>"李秋阳"</f>
        <v>李秋阳</v>
      </c>
      <c r="F208" s="10" t="str">
        <f aca="true" t="shared" si="16" ref="F208:F213">"女"</f>
        <v>女</v>
      </c>
      <c r="G208" s="10" t="str">
        <f>"23109010417"</f>
        <v>23109010417</v>
      </c>
      <c r="H208" s="11" t="s">
        <v>12</v>
      </c>
      <c r="I208" s="13" t="s">
        <v>13</v>
      </c>
      <c r="J208" s="3"/>
    </row>
    <row r="209" spans="1:10" ht="30.75" customHeight="1">
      <c r="A209" s="9">
        <v>207</v>
      </c>
      <c r="B209" s="10" t="str">
        <f t="shared" si="15"/>
        <v>109</v>
      </c>
      <c r="C209" s="10" t="s">
        <v>28</v>
      </c>
      <c r="D209" s="10" t="s">
        <v>27</v>
      </c>
      <c r="E209" s="10" t="str">
        <f>"宋晓晨"</f>
        <v>宋晓晨</v>
      </c>
      <c r="F209" s="10" t="str">
        <f t="shared" si="16"/>
        <v>女</v>
      </c>
      <c r="G209" s="10" t="str">
        <f>"23109010418"</f>
        <v>23109010418</v>
      </c>
      <c r="H209" s="11" t="s">
        <v>12</v>
      </c>
      <c r="I209" s="13" t="s">
        <v>13</v>
      </c>
      <c r="J209" s="3"/>
    </row>
    <row r="210" spans="1:10" ht="30.75" customHeight="1">
      <c r="A210" s="9">
        <v>208</v>
      </c>
      <c r="B210" s="10" t="str">
        <f t="shared" si="15"/>
        <v>109</v>
      </c>
      <c r="C210" s="10" t="s">
        <v>28</v>
      </c>
      <c r="D210" s="10" t="s">
        <v>27</v>
      </c>
      <c r="E210" s="10" t="str">
        <f>"王玲"</f>
        <v>王玲</v>
      </c>
      <c r="F210" s="10" t="str">
        <f t="shared" si="16"/>
        <v>女</v>
      </c>
      <c r="G210" s="10" t="str">
        <f>"23109010419"</f>
        <v>23109010419</v>
      </c>
      <c r="H210" s="11" t="s">
        <v>12</v>
      </c>
      <c r="I210" s="13" t="s">
        <v>13</v>
      </c>
      <c r="J210" s="3"/>
    </row>
    <row r="211" spans="1:10" ht="30.75" customHeight="1">
      <c r="A211" s="9">
        <v>209</v>
      </c>
      <c r="B211" s="10" t="str">
        <f t="shared" si="15"/>
        <v>109</v>
      </c>
      <c r="C211" s="10" t="s">
        <v>28</v>
      </c>
      <c r="D211" s="10" t="s">
        <v>27</v>
      </c>
      <c r="E211" s="10" t="str">
        <f>"白鸽"</f>
        <v>白鸽</v>
      </c>
      <c r="F211" s="10" t="str">
        <f t="shared" si="16"/>
        <v>女</v>
      </c>
      <c r="G211" s="10" t="str">
        <f>"23109010420"</f>
        <v>23109010420</v>
      </c>
      <c r="H211" s="12">
        <v>75.08</v>
      </c>
      <c r="I211" s="13" t="s">
        <v>13</v>
      </c>
      <c r="J211" s="3"/>
    </row>
    <row r="212" spans="1:10" ht="30.75" customHeight="1">
      <c r="A212" s="9">
        <v>210</v>
      </c>
      <c r="B212" s="10" t="str">
        <f t="shared" si="15"/>
        <v>109</v>
      </c>
      <c r="C212" s="10" t="s">
        <v>28</v>
      </c>
      <c r="D212" s="10" t="s">
        <v>27</v>
      </c>
      <c r="E212" s="10" t="str">
        <f>"哈丽雅"</f>
        <v>哈丽雅</v>
      </c>
      <c r="F212" s="10" t="str">
        <f t="shared" si="16"/>
        <v>女</v>
      </c>
      <c r="G212" s="10" t="str">
        <f>"23109010421"</f>
        <v>23109010421</v>
      </c>
      <c r="H212" s="12">
        <v>69.94</v>
      </c>
      <c r="I212" s="13" t="s">
        <v>13</v>
      </c>
      <c r="J212" s="3"/>
    </row>
    <row r="213" spans="1:10" ht="30.75" customHeight="1">
      <c r="A213" s="9">
        <v>211</v>
      </c>
      <c r="B213" s="10" t="str">
        <f t="shared" si="15"/>
        <v>109</v>
      </c>
      <c r="C213" s="10" t="s">
        <v>28</v>
      </c>
      <c r="D213" s="10" t="s">
        <v>27</v>
      </c>
      <c r="E213" s="10" t="str">
        <f>"穆雨薇"</f>
        <v>穆雨薇</v>
      </c>
      <c r="F213" s="10" t="str">
        <f t="shared" si="16"/>
        <v>女</v>
      </c>
      <c r="G213" s="10" t="str">
        <f>"23109010422"</f>
        <v>23109010422</v>
      </c>
      <c r="H213" s="12">
        <v>76.18</v>
      </c>
      <c r="I213" s="13" t="s">
        <v>13</v>
      </c>
      <c r="J213" s="3"/>
    </row>
    <row r="214" spans="1:10" ht="30.75" customHeight="1">
      <c r="A214" s="9">
        <v>212</v>
      </c>
      <c r="B214" s="10" t="str">
        <f t="shared" si="15"/>
        <v>109</v>
      </c>
      <c r="C214" s="10" t="s">
        <v>28</v>
      </c>
      <c r="D214" s="10" t="s">
        <v>27</v>
      </c>
      <c r="E214" s="10" t="str">
        <f>"高志"</f>
        <v>高志</v>
      </c>
      <c r="F214" s="10" t="str">
        <f>"男"</f>
        <v>男</v>
      </c>
      <c r="G214" s="10" t="str">
        <f>"23109010423"</f>
        <v>23109010423</v>
      </c>
      <c r="H214" s="12">
        <v>81.14</v>
      </c>
      <c r="I214" s="12" t="s">
        <v>15</v>
      </c>
      <c r="J214" s="3"/>
    </row>
    <row r="215" spans="1:10" ht="30.75" customHeight="1">
      <c r="A215" s="9">
        <v>213</v>
      </c>
      <c r="B215" s="10" t="str">
        <f t="shared" si="15"/>
        <v>109</v>
      </c>
      <c r="C215" s="10" t="s">
        <v>28</v>
      </c>
      <c r="D215" s="10" t="s">
        <v>27</v>
      </c>
      <c r="E215" s="10" t="str">
        <f>"朝克"</f>
        <v>朝克</v>
      </c>
      <c r="F215" s="10" t="str">
        <f>"男"</f>
        <v>男</v>
      </c>
      <c r="G215" s="10" t="str">
        <f>"23109010424"</f>
        <v>23109010424</v>
      </c>
      <c r="H215" s="11" t="s">
        <v>12</v>
      </c>
      <c r="I215" s="13" t="s">
        <v>13</v>
      </c>
      <c r="J215" s="3"/>
    </row>
    <row r="216" spans="1:10" ht="30.75" customHeight="1">
      <c r="A216" s="9">
        <v>214</v>
      </c>
      <c r="B216" s="10" t="str">
        <f t="shared" si="15"/>
        <v>109</v>
      </c>
      <c r="C216" s="10" t="s">
        <v>28</v>
      </c>
      <c r="D216" s="10" t="s">
        <v>27</v>
      </c>
      <c r="E216" s="10" t="str">
        <f>"郝文博"</f>
        <v>郝文博</v>
      </c>
      <c r="F216" s="10" t="str">
        <f>"女"</f>
        <v>女</v>
      </c>
      <c r="G216" s="10" t="str">
        <f>"23109010425"</f>
        <v>23109010425</v>
      </c>
      <c r="H216" s="11" t="s">
        <v>12</v>
      </c>
      <c r="I216" s="13" t="s">
        <v>13</v>
      </c>
      <c r="J216" s="3"/>
    </row>
    <row r="217" spans="1:10" ht="30.75" customHeight="1">
      <c r="A217" s="9">
        <v>215</v>
      </c>
      <c r="B217" s="10" t="str">
        <f t="shared" si="15"/>
        <v>109</v>
      </c>
      <c r="C217" s="10" t="s">
        <v>28</v>
      </c>
      <c r="D217" s="10" t="s">
        <v>27</v>
      </c>
      <c r="E217" s="10" t="str">
        <f>"郑钰"</f>
        <v>郑钰</v>
      </c>
      <c r="F217" s="10" t="str">
        <f>"女"</f>
        <v>女</v>
      </c>
      <c r="G217" s="10" t="str">
        <f>"23109010426"</f>
        <v>23109010426</v>
      </c>
      <c r="H217" s="11" t="s">
        <v>12</v>
      </c>
      <c r="I217" s="13" t="s">
        <v>13</v>
      </c>
      <c r="J217" s="3"/>
    </row>
    <row r="218" spans="1:10" ht="30.75" customHeight="1">
      <c r="A218" s="9">
        <v>216</v>
      </c>
      <c r="B218" s="10" t="str">
        <f t="shared" si="15"/>
        <v>109</v>
      </c>
      <c r="C218" s="10" t="s">
        <v>28</v>
      </c>
      <c r="D218" s="10" t="s">
        <v>27</v>
      </c>
      <c r="E218" s="10" t="str">
        <f>"白悦"</f>
        <v>白悦</v>
      </c>
      <c r="F218" s="10" t="str">
        <f>"女"</f>
        <v>女</v>
      </c>
      <c r="G218" s="10" t="str">
        <f>"23109010427"</f>
        <v>23109010427</v>
      </c>
      <c r="H218" s="12">
        <v>78.06</v>
      </c>
      <c r="I218" s="13" t="s">
        <v>13</v>
      </c>
      <c r="J218" s="3"/>
    </row>
    <row r="219" spans="1:10" ht="30.75" customHeight="1">
      <c r="A219" s="9">
        <v>217</v>
      </c>
      <c r="B219" s="10" t="str">
        <f t="shared" si="15"/>
        <v>109</v>
      </c>
      <c r="C219" s="10" t="s">
        <v>28</v>
      </c>
      <c r="D219" s="10" t="s">
        <v>27</v>
      </c>
      <c r="E219" s="10" t="str">
        <f>"郁玲玲"</f>
        <v>郁玲玲</v>
      </c>
      <c r="F219" s="10" t="str">
        <f>"女"</f>
        <v>女</v>
      </c>
      <c r="G219" s="10" t="str">
        <f>"23109010428"</f>
        <v>23109010428</v>
      </c>
      <c r="H219" s="11" t="s">
        <v>12</v>
      </c>
      <c r="I219" s="13" t="s">
        <v>13</v>
      </c>
      <c r="J219" s="3"/>
    </row>
    <row r="220" spans="1:10" ht="30.75" customHeight="1">
      <c r="A220" s="9">
        <v>218</v>
      </c>
      <c r="B220" s="10" t="str">
        <f t="shared" si="15"/>
        <v>109</v>
      </c>
      <c r="C220" s="10" t="s">
        <v>28</v>
      </c>
      <c r="D220" s="10" t="s">
        <v>27</v>
      </c>
      <c r="E220" s="10" t="str">
        <f>"吉布华"</f>
        <v>吉布华</v>
      </c>
      <c r="F220" s="10" t="str">
        <f>"男"</f>
        <v>男</v>
      </c>
      <c r="G220" s="10" t="str">
        <f>"23109010429"</f>
        <v>23109010429</v>
      </c>
      <c r="H220" s="11" t="s">
        <v>12</v>
      </c>
      <c r="I220" s="13" t="s">
        <v>13</v>
      </c>
      <c r="J220" s="3"/>
    </row>
    <row r="221" spans="1:10" ht="30.75" customHeight="1">
      <c r="A221" s="9">
        <v>219</v>
      </c>
      <c r="B221" s="10" t="str">
        <f t="shared" si="15"/>
        <v>109</v>
      </c>
      <c r="C221" s="10" t="s">
        <v>28</v>
      </c>
      <c r="D221" s="10" t="s">
        <v>27</v>
      </c>
      <c r="E221" s="10" t="str">
        <f>"王智锐 "</f>
        <v>王智锐 </v>
      </c>
      <c r="F221" s="10" t="str">
        <f>"男"</f>
        <v>男</v>
      </c>
      <c r="G221" s="10" t="str">
        <f>"23109010430"</f>
        <v>23109010430</v>
      </c>
      <c r="H221" s="12">
        <v>76.8</v>
      </c>
      <c r="I221" s="13" t="s">
        <v>13</v>
      </c>
      <c r="J221" s="3"/>
    </row>
    <row r="222" spans="1:10" ht="30.75" customHeight="1">
      <c r="A222" s="9">
        <v>220</v>
      </c>
      <c r="B222" s="10" t="str">
        <f t="shared" si="15"/>
        <v>109</v>
      </c>
      <c r="C222" s="10" t="s">
        <v>28</v>
      </c>
      <c r="D222" s="10" t="s">
        <v>27</v>
      </c>
      <c r="E222" s="10" t="str">
        <f>"贾明楚"</f>
        <v>贾明楚</v>
      </c>
      <c r="F222" s="10" t="str">
        <f aca="true" t="shared" si="17" ref="F222:F229">"女"</f>
        <v>女</v>
      </c>
      <c r="G222" s="10" t="str">
        <f>"23109010431"</f>
        <v>23109010431</v>
      </c>
      <c r="H222" s="12">
        <v>73.14</v>
      </c>
      <c r="I222" s="13" t="s">
        <v>13</v>
      </c>
      <c r="J222" s="3"/>
    </row>
    <row r="223" spans="1:10" ht="30.75" customHeight="1">
      <c r="A223" s="9">
        <v>221</v>
      </c>
      <c r="B223" s="10" t="str">
        <f t="shared" si="15"/>
        <v>109</v>
      </c>
      <c r="C223" s="10" t="s">
        <v>28</v>
      </c>
      <c r="D223" s="10" t="s">
        <v>27</v>
      </c>
      <c r="E223" s="10" t="str">
        <f>"其其格"</f>
        <v>其其格</v>
      </c>
      <c r="F223" s="10" t="str">
        <f t="shared" si="17"/>
        <v>女</v>
      </c>
      <c r="G223" s="10" t="str">
        <f>"23109010432"</f>
        <v>23109010432</v>
      </c>
      <c r="H223" s="11" t="s">
        <v>12</v>
      </c>
      <c r="I223" s="13" t="s">
        <v>13</v>
      </c>
      <c r="J223" s="3"/>
    </row>
    <row r="224" spans="1:10" ht="30.75" customHeight="1">
      <c r="A224" s="9">
        <v>222</v>
      </c>
      <c r="B224" s="10" t="str">
        <f t="shared" si="15"/>
        <v>109</v>
      </c>
      <c r="C224" s="10" t="s">
        <v>28</v>
      </c>
      <c r="D224" s="10" t="s">
        <v>27</v>
      </c>
      <c r="E224" s="10" t="str">
        <f>"刘艳萍"</f>
        <v>刘艳萍</v>
      </c>
      <c r="F224" s="10" t="str">
        <f t="shared" si="17"/>
        <v>女</v>
      </c>
      <c r="G224" s="10" t="str">
        <f>"23109010433"</f>
        <v>23109010433</v>
      </c>
      <c r="H224" s="12">
        <v>76.78</v>
      </c>
      <c r="I224" s="13" t="s">
        <v>13</v>
      </c>
      <c r="J224" s="3"/>
    </row>
    <row r="225" spans="1:10" ht="30.75" customHeight="1">
      <c r="A225" s="9">
        <v>223</v>
      </c>
      <c r="B225" s="10" t="str">
        <f t="shared" si="15"/>
        <v>109</v>
      </c>
      <c r="C225" s="10" t="s">
        <v>28</v>
      </c>
      <c r="D225" s="10" t="s">
        <v>27</v>
      </c>
      <c r="E225" s="10" t="str">
        <f>"宋昱"</f>
        <v>宋昱</v>
      </c>
      <c r="F225" s="10" t="str">
        <f t="shared" si="17"/>
        <v>女</v>
      </c>
      <c r="G225" s="10" t="str">
        <f>"23109010434"</f>
        <v>23109010434</v>
      </c>
      <c r="H225" s="11" t="s">
        <v>12</v>
      </c>
      <c r="I225" s="13" t="s">
        <v>13</v>
      </c>
      <c r="J225" s="3"/>
    </row>
    <row r="226" spans="1:10" ht="30.75" customHeight="1">
      <c r="A226" s="9">
        <v>224</v>
      </c>
      <c r="B226" s="10" t="str">
        <f t="shared" si="15"/>
        <v>109</v>
      </c>
      <c r="C226" s="10" t="s">
        <v>28</v>
      </c>
      <c r="D226" s="10" t="s">
        <v>27</v>
      </c>
      <c r="E226" s="10" t="str">
        <f>"郝慧慧"</f>
        <v>郝慧慧</v>
      </c>
      <c r="F226" s="10" t="str">
        <f t="shared" si="17"/>
        <v>女</v>
      </c>
      <c r="G226" s="10" t="str">
        <f>"23109010435"</f>
        <v>23109010435</v>
      </c>
      <c r="H226" s="11" t="s">
        <v>12</v>
      </c>
      <c r="I226" s="13" t="s">
        <v>13</v>
      </c>
      <c r="J226" s="3"/>
    </row>
    <row r="227" spans="1:10" ht="30.75" customHeight="1">
      <c r="A227" s="9">
        <v>225</v>
      </c>
      <c r="B227" s="10" t="str">
        <f t="shared" si="15"/>
        <v>109</v>
      </c>
      <c r="C227" s="10" t="s">
        <v>28</v>
      </c>
      <c r="D227" s="10" t="s">
        <v>27</v>
      </c>
      <c r="E227" s="10" t="str">
        <f>"王巧茹"</f>
        <v>王巧茹</v>
      </c>
      <c r="F227" s="10" t="str">
        <f t="shared" si="17"/>
        <v>女</v>
      </c>
      <c r="G227" s="10" t="str">
        <f>"23109010436"</f>
        <v>23109010436</v>
      </c>
      <c r="H227" s="12">
        <v>75.94</v>
      </c>
      <c r="I227" s="13" t="s">
        <v>13</v>
      </c>
      <c r="J227" s="3"/>
    </row>
    <row r="228" spans="1:10" ht="30.75" customHeight="1">
      <c r="A228" s="9">
        <v>226</v>
      </c>
      <c r="B228" s="10" t="str">
        <f t="shared" si="15"/>
        <v>109</v>
      </c>
      <c r="C228" s="10" t="s">
        <v>28</v>
      </c>
      <c r="D228" s="10" t="s">
        <v>27</v>
      </c>
      <c r="E228" s="10" t="str">
        <f>"乌日彩呼"</f>
        <v>乌日彩呼</v>
      </c>
      <c r="F228" s="10" t="str">
        <f t="shared" si="17"/>
        <v>女</v>
      </c>
      <c r="G228" s="10" t="str">
        <f>"23109010437"</f>
        <v>23109010437</v>
      </c>
      <c r="H228" s="12">
        <v>44.44</v>
      </c>
      <c r="I228" s="13" t="s">
        <v>13</v>
      </c>
      <c r="J228" s="3"/>
    </row>
    <row r="229" spans="1:10" ht="30.75" customHeight="1">
      <c r="A229" s="9">
        <v>227</v>
      </c>
      <c r="B229" s="10" t="str">
        <f t="shared" si="15"/>
        <v>109</v>
      </c>
      <c r="C229" s="10" t="s">
        <v>28</v>
      </c>
      <c r="D229" s="10" t="s">
        <v>27</v>
      </c>
      <c r="E229" s="10" t="str">
        <f>"徐小燕"</f>
        <v>徐小燕</v>
      </c>
      <c r="F229" s="10" t="str">
        <f t="shared" si="17"/>
        <v>女</v>
      </c>
      <c r="G229" s="10" t="str">
        <f>"23109010438"</f>
        <v>23109010438</v>
      </c>
      <c r="H229" s="12">
        <v>74.5</v>
      </c>
      <c r="I229" s="13" t="s">
        <v>13</v>
      </c>
      <c r="J229" s="3"/>
    </row>
    <row r="230" spans="1:10" ht="30.75" customHeight="1">
      <c r="A230" s="9">
        <v>228</v>
      </c>
      <c r="B230" s="10" t="str">
        <f t="shared" si="15"/>
        <v>109</v>
      </c>
      <c r="C230" s="10" t="s">
        <v>28</v>
      </c>
      <c r="D230" s="10" t="s">
        <v>27</v>
      </c>
      <c r="E230" s="10" t="str">
        <f>"海日汗"</f>
        <v>海日汗</v>
      </c>
      <c r="F230" s="10" t="str">
        <f>"男"</f>
        <v>男</v>
      </c>
      <c r="G230" s="10" t="str">
        <f>"23109010439"</f>
        <v>23109010439</v>
      </c>
      <c r="H230" s="11" t="s">
        <v>12</v>
      </c>
      <c r="I230" s="13" t="s">
        <v>13</v>
      </c>
      <c r="J230" s="3"/>
    </row>
    <row r="231" spans="1:10" ht="30.75" customHeight="1">
      <c r="A231" s="9">
        <v>229</v>
      </c>
      <c r="B231" s="10" t="str">
        <f t="shared" si="15"/>
        <v>109</v>
      </c>
      <c r="C231" s="10" t="s">
        <v>28</v>
      </c>
      <c r="D231" s="10" t="s">
        <v>27</v>
      </c>
      <c r="E231" s="10" t="str">
        <f>"郝佳运"</f>
        <v>郝佳运</v>
      </c>
      <c r="F231" s="10" t="str">
        <f>"男"</f>
        <v>男</v>
      </c>
      <c r="G231" s="10" t="str">
        <f>"23109010440"</f>
        <v>23109010440</v>
      </c>
      <c r="H231" s="11" t="s">
        <v>12</v>
      </c>
      <c r="I231" s="13" t="s">
        <v>13</v>
      </c>
      <c r="J231" s="3"/>
    </row>
    <row r="232" spans="1:10" ht="30.75" customHeight="1">
      <c r="A232" s="9">
        <v>230</v>
      </c>
      <c r="B232" s="10" t="str">
        <f t="shared" si="15"/>
        <v>109</v>
      </c>
      <c r="C232" s="10" t="s">
        <v>28</v>
      </c>
      <c r="D232" s="10" t="s">
        <v>27</v>
      </c>
      <c r="E232" s="10" t="str">
        <f>"刘成江"</f>
        <v>刘成江</v>
      </c>
      <c r="F232" s="10" t="str">
        <f>"男"</f>
        <v>男</v>
      </c>
      <c r="G232" s="10" t="str">
        <f>"23109010441"</f>
        <v>23109010441</v>
      </c>
      <c r="H232" s="11" t="s">
        <v>12</v>
      </c>
      <c r="I232" s="13" t="s">
        <v>13</v>
      </c>
      <c r="J232" s="3"/>
    </row>
    <row r="233" spans="1:10" ht="30.75" customHeight="1">
      <c r="A233" s="9">
        <v>231</v>
      </c>
      <c r="B233" s="10" t="str">
        <f t="shared" si="15"/>
        <v>109</v>
      </c>
      <c r="C233" s="10" t="s">
        <v>28</v>
      </c>
      <c r="D233" s="10" t="s">
        <v>27</v>
      </c>
      <c r="E233" s="10" t="str">
        <f>"宗宇"</f>
        <v>宗宇</v>
      </c>
      <c r="F233" s="10" t="str">
        <f>"男"</f>
        <v>男</v>
      </c>
      <c r="G233" s="10" t="str">
        <f>"23109010442"</f>
        <v>23109010442</v>
      </c>
      <c r="H233" s="11" t="s">
        <v>12</v>
      </c>
      <c r="I233" s="13" t="s">
        <v>13</v>
      </c>
      <c r="J233" s="3"/>
    </row>
    <row r="234" spans="1:10" ht="30.75" customHeight="1">
      <c r="A234" s="9">
        <v>232</v>
      </c>
      <c r="B234" s="10" t="str">
        <f t="shared" si="15"/>
        <v>109</v>
      </c>
      <c r="C234" s="10" t="s">
        <v>28</v>
      </c>
      <c r="D234" s="10" t="s">
        <v>27</v>
      </c>
      <c r="E234" s="10" t="str">
        <f>"牛丽娟"</f>
        <v>牛丽娟</v>
      </c>
      <c r="F234" s="10" t="str">
        <f aca="true" t="shared" si="18" ref="F234:F240">"女"</f>
        <v>女</v>
      </c>
      <c r="G234" s="10" t="str">
        <f>"23109010443"</f>
        <v>23109010443</v>
      </c>
      <c r="H234" s="12">
        <v>75.74</v>
      </c>
      <c r="I234" s="13" t="s">
        <v>13</v>
      </c>
      <c r="J234" s="3"/>
    </row>
    <row r="235" spans="1:10" ht="30.75" customHeight="1">
      <c r="A235" s="9">
        <v>233</v>
      </c>
      <c r="B235" s="10" t="str">
        <f t="shared" si="15"/>
        <v>109</v>
      </c>
      <c r="C235" s="10" t="s">
        <v>28</v>
      </c>
      <c r="D235" s="10" t="s">
        <v>27</v>
      </c>
      <c r="E235" s="10" t="str">
        <f>"刘畅"</f>
        <v>刘畅</v>
      </c>
      <c r="F235" s="10" t="str">
        <f t="shared" si="18"/>
        <v>女</v>
      </c>
      <c r="G235" s="10" t="str">
        <f>"23109010444"</f>
        <v>23109010444</v>
      </c>
      <c r="H235" s="11" t="s">
        <v>12</v>
      </c>
      <c r="I235" s="13" t="s">
        <v>13</v>
      </c>
      <c r="J235" s="3"/>
    </row>
    <row r="236" spans="1:10" ht="30.75" customHeight="1">
      <c r="A236" s="9">
        <v>234</v>
      </c>
      <c r="B236" s="10" t="str">
        <f t="shared" si="15"/>
        <v>109</v>
      </c>
      <c r="C236" s="10" t="s">
        <v>28</v>
      </c>
      <c r="D236" s="10" t="s">
        <v>27</v>
      </c>
      <c r="E236" s="10" t="str">
        <f>"晨曦"</f>
        <v>晨曦</v>
      </c>
      <c r="F236" s="10" t="str">
        <f t="shared" si="18"/>
        <v>女</v>
      </c>
      <c r="G236" s="10" t="str">
        <f>"23109010445"</f>
        <v>23109010445</v>
      </c>
      <c r="H236" s="11" t="s">
        <v>12</v>
      </c>
      <c r="I236" s="13" t="s">
        <v>13</v>
      </c>
      <c r="J236" s="3"/>
    </row>
    <row r="237" spans="1:10" ht="30.75" customHeight="1">
      <c r="A237" s="9">
        <v>235</v>
      </c>
      <c r="B237" s="10" t="str">
        <f t="shared" si="15"/>
        <v>109</v>
      </c>
      <c r="C237" s="10" t="s">
        <v>28</v>
      </c>
      <c r="D237" s="10" t="s">
        <v>27</v>
      </c>
      <c r="E237" s="10" t="str">
        <f>"王洁莹"</f>
        <v>王洁莹</v>
      </c>
      <c r="F237" s="10" t="str">
        <f t="shared" si="18"/>
        <v>女</v>
      </c>
      <c r="G237" s="10" t="str">
        <f>"23109010446"</f>
        <v>23109010446</v>
      </c>
      <c r="H237" s="11" t="s">
        <v>12</v>
      </c>
      <c r="I237" s="13" t="s">
        <v>13</v>
      </c>
      <c r="J237" s="3"/>
    </row>
    <row r="238" spans="1:10" ht="30.75" customHeight="1">
      <c r="A238" s="9">
        <v>236</v>
      </c>
      <c r="B238" s="10" t="str">
        <f t="shared" si="15"/>
        <v>109</v>
      </c>
      <c r="C238" s="10" t="s">
        <v>28</v>
      </c>
      <c r="D238" s="10" t="s">
        <v>27</v>
      </c>
      <c r="E238" s="10" t="str">
        <f>"张帆"</f>
        <v>张帆</v>
      </c>
      <c r="F238" s="10" t="str">
        <f t="shared" si="18"/>
        <v>女</v>
      </c>
      <c r="G238" s="10" t="str">
        <f>"23109010447"</f>
        <v>23109010447</v>
      </c>
      <c r="H238" s="12">
        <v>76.84</v>
      </c>
      <c r="I238" s="13" t="s">
        <v>13</v>
      </c>
      <c r="J238" s="3"/>
    </row>
    <row r="239" spans="1:10" ht="30.75" customHeight="1">
      <c r="A239" s="9">
        <v>237</v>
      </c>
      <c r="B239" s="10" t="str">
        <f t="shared" si="15"/>
        <v>109</v>
      </c>
      <c r="C239" s="10" t="s">
        <v>28</v>
      </c>
      <c r="D239" s="10" t="s">
        <v>27</v>
      </c>
      <c r="E239" s="10" t="str">
        <f>"方凯璇"</f>
        <v>方凯璇</v>
      </c>
      <c r="F239" s="10" t="str">
        <f t="shared" si="18"/>
        <v>女</v>
      </c>
      <c r="G239" s="10" t="str">
        <f>"23109010448"</f>
        <v>23109010448</v>
      </c>
      <c r="H239" s="12">
        <v>76.08</v>
      </c>
      <c r="I239" s="13" t="s">
        <v>13</v>
      </c>
      <c r="J239" s="3"/>
    </row>
    <row r="240" spans="1:10" ht="30.75" customHeight="1">
      <c r="A240" s="9">
        <v>238</v>
      </c>
      <c r="B240" s="10" t="str">
        <f>"110"</f>
        <v>110</v>
      </c>
      <c r="C240" s="10" t="s">
        <v>29</v>
      </c>
      <c r="D240" s="10" t="s">
        <v>30</v>
      </c>
      <c r="E240" s="10" t="str">
        <f>"梁婧"</f>
        <v>梁婧</v>
      </c>
      <c r="F240" s="10" t="str">
        <f t="shared" si="18"/>
        <v>女</v>
      </c>
      <c r="G240" s="10" t="str">
        <f>"23110010205"</f>
        <v>23110010205</v>
      </c>
      <c r="H240" s="11" t="s">
        <v>12</v>
      </c>
      <c r="I240" s="13" t="s">
        <v>13</v>
      </c>
      <c r="J240" s="3"/>
    </row>
    <row r="241" spans="1:10" ht="30.75" customHeight="1">
      <c r="A241" s="9">
        <v>239</v>
      </c>
      <c r="B241" s="10" t="str">
        <f>"110"</f>
        <v>110</v>
      </c>
      <c r="C241" s="10" t="s">
        <v>29</v>
      </c>
      <c r="D241" s="10" t="s">
        <v>30</v>
      </c>
      <c r="E241" s="10" t="str">
        <f>"王泽水"</f>
        <v>王泽水</v>
      </c>
      <c r="F241" s="10" t="str">
        <f>"男"</f>
        <v>男</v>
      </c>
      <c r="G241" s="10" t="str">
        <f>"23110010206"</f>
        <v>23110010206</v>
      </c>
      <c r="H241" s="10">
        <v>77.74</v>
      </c>
      <c r="I241" s="13" t="s">
        <v>13</v>
      </c>
      <c r="J241" s="3"/>
    </row>
    <row r="242" spans="1:10" ht="30.75" customHeight="1">
      <c r="A242" s="9">
        <v>240</v>
      </c>
      <c r="B242" s="10" t="str">
        <f>"110"</f>
        <v>110</v>
      </c>
      <c r="C242" s="10" t="s">
        <v>29</v>
      </c>
      <c r="D242" s="10" t="s">
        <v>30</v>
      </c>
      <c r="E242" s="10" t="str">
        <f>"赵丹"</f>
        <v>赵丹</v>
      </c>
      <c r="F242" s="10" t="str">
        <f>"女"</f>
        <v>女</v>
      </c>
      <c r="G242" s="10" t="str">
        <f>"23110010207"</f>
        <v>23110010207</v>
      </c>
      <c r="H242" s="10">
        <v>78.68</v>
      </c>
      <c r="I242" s="10" t="s">
        <v>15</v>
      </c>
      <c r="J242" s="3"/>
    </row>
    <row r="243" spans="1:10" ht="30.75" customHeight="1">
      <c r="A243" s="9">
        <v>241</v>
      </c>
      <c r="B243" s="10" t="str">
        <f>"110"</f>
        <v>110</v>
      </c>
      <c r="C243" s="10" t="s">
        <v>29</v>
      </c>
      <c r="D243" s="10" t="s">
        <v>30</v>
      </c>
      <c r="E243" s="10" t="str">
        <f>"岳文博"</f>
        <v>岳文博</v>
      </c>
      <c r="F243" s="10" t="str">
        <f>"女"</f>
        <v>女</v>
      </c>
      <c r="G243" s="10" t="str">
        <f>"23110010208"</f>
        <v>23110010208</v>
      </c>
      <c r="H243" s="10">
        <v>78.14</v>
      </c>
      <c r="I243" s="13" t="s">
        <v>13</v>
      </c>
      <c r="J243" s="3"/>
    </row>
  </sheetData>
  <sheetProtection sheet="1" objects="1"/>
  <autoFilter ref="B2:H243"/>
  <mergeCells count="1">
    <mergeCell ref="A1:I1"/>
  </mergeCells>
  <printOptions/>
  <pageMargins left="0.3576388888888889" right="0.3576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milly</cp:lastModifiedBy>
  <dcterms:created xsi:type="dcterms:W3CDTF">2023-02-09T09:08:21Z</dcterms:created>
  <dcterms:modified xsi:type="dcterms:W3CDTF">2023-02-20T02:42:39Z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F613914160E54ABC9B138C2E7F48443B</vt:lpwstr>
  </property>
  <property fmtid="{D5CDD505-2E9C-101B-9397-08002B2CF9AE}" pid="4" name="KSOProductBuildV">
    <vt:lpwstr>2052-11.1.0.13703</vt:lpwstr>
  </property>
</Properties>
</file>